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45" windowWidth="13515" windowHeight="11640" tabRatio="252"/>
  </bookViews>
  <sheets>
    <sheet name="資工101日四技 (2)" sheetId="6" r:id="rId1"/>
    <sheet name="DV-IDENTITY-0" sheetId="3" state="veryHidden" r:id="rId2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I77" i="6" l="1"/>
  <c r="D77" i="6"/>
  <c r="I73" i="6"/>
  <c r="H73" i="6"/>
  <c r="D73" i="6"/>
  <c r="C73" i="6"/>
  <c r="I71" i="6"/>
  <c r="H71" i="6"/>
  <c r="D71" i="6"/>
  <c r="C71" i="6"/>
  <c r="I51" i="6"/>
  <c r="H51" i="6"/>
  <c r="D51" i="6"/>
  <c r="C51" i="6"/>
  <c r="I47" i="6"/>
  <c r="H47" i="6"/>
  <c r="D47" i="6"/>
  <c r="C47" i="6"/>
  <c r="I45" i="6"/>
  <c r="H45" i="6"/>
  <c r="I36" i="6"/>
  <c r="H36" i="6"/>
  <c r="D36" i="6"/>
  <c r="C36" i="6"/>
  <c r="I31" i="6"/>
  <c r="H31" i="6"/>
  <c r="D31" i="6"/>
  <c r="C31" i="6"/>
  <c r="I29" i="6"/>
  <c r="H29" i="6"/>
  <c r="D29" i="6"/>
  <c r="C29" i="6"/>
  <c r="I18" i="6"/>
  <c r="H18" i="6"/>
  <c r="D18" i="6"/>
  <c r="C18" i="6"/>
  <c r="I15" i="6"/>
  <c r="H15" i="6"/>
  <c r="D15" i="6"/>
  <c r="C15" i="6"/>
  <c r="I11" i="6"/>
  <c r="H11" i="6"/>
  <c r="D11" i="6"/>
  <c r="C11" i="6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BA6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EP4" i="3"/>
  <c r="EQ4" i="3"/>
  <c r="ER4" i="3"/>
  <c r="ES4" i="3"/>
  <c r="ET4" i="3"/>
  <c r="EU4" i="3"/>
  <c r="EV4" i="3"/>
  <c r="EW4" i="3"/>
  <c r="EX4" i="3"/>
  <c r="EY4" i="3"/>
  <c r="EZ4" i="3"/>
  <c r="FA4" i="3"/>
  <c r="FB4" i="3"/>
  <c r="FC4" i="3"/>
  <c r="FD4" i="3"/>
  <c r="FE4" i="3"/>
  <c r="FF4" i="3"/>
  <c r="FG4" i="3"/>
  <c r="FH4" i="3"/>
  <c r="FI4" i="3"/>
  <c r="FJ4" i="3"/>
  <c r="FK4" i="3"/>
  <c r="FL4" i="3"/>
  <c r="FM4" i="3"/>
  <c r="FN4" i="3"/>
  <c r="FO4" i="3"/>
  <c r="FP4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GR4" i="3"/>
  <c r="GS4" i="3"/>
  <c r="GT4" i="3"/>
  <c r="GU4" i="3"/>
  <c r="GV4" i="3"/>
  <c r="GW4" i="3"/>
  <c r="GX4" i="3"/>
  <c r="GY4" i="3"/>
  <c r="GZ4" i="3"/>
  <c r="HA4" i="3"/>
  <c r="HB4" i="3"/>
  <c r="HC4" i="3"/>
  <c r="HD4" i="3"/>
  <c r="HE4" i="3"/>
  <c r="HF4" i="3"/>
  <c r="HG4" i="3"/>
  <c r="HH4" i="3"/>
  <c r="HI4" i="3"/>
  <c r="HJ4" i="3"/>
  <c r="HK4" i="3"/>
  <c r="HL4" i="3"/>
  <c r="HM4" i="3"/>
  <c r="HN4" i="3"/>
  <c r="HO4" i="3"/>
  <c r="HP4" i="3"/>
  <c r="HQ4" i="3"/>
  <c r="HR4" i="3"/>
  <c r="HS4" i="3"/>
  <c r="HT4" i="3"/>
  <c r="HU4" i="3"/>
  <c r="HV4" i="3"/>
  <c r="HW4" i="3"/>
  <c r="HX4" i="3"/>
  <c r="HY4" i="3"/>
  <c r="HZ4" i="3"/>
  <c r="IA4" i="3"/>
  <c r="IB4" i="3"/>
  <c r="IC4" i="3"/>
  <c r="ID4" i="3"/>
  <c r="IE4" i="3"/>
  <c r="IF4" i="3"/>
  <c r="IG4" i="3"/>
  <c r="IH4" i="3"/>
  <c r="II4" i="3"/>
  <c r="IJ4" i="3"/>
  <c r="IK4" i="3"/>
  <c r="IL4" i="3"/>
  <c r="IM4" i="3"/>
  <c r="IN4" i="3"/>
  <c r="IO4" i="3"/>
  <c r="IP4" i="3"/>
  <c r="IQ4" i="3"/>
  <c r="IR4" i="3"/>
  <c r="IS4" i="3"/>
  <c r="IT4" i="3"/>
  <c r="IU4" i="3"/>
  <c r="IV4" i="3"/>
  <c r="A3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ER3" i="3"/>
  <c r="ES3" i="3"/>
  <c r="ET3" i="3"/>
  <c r="EU3" i="3"/>
  <c r="EV3" i="3"/>
  <c r="EW3" i="3"/>
  <c r="EX3" i="3"/>
  <c r="EY3" i="3"/>
  <c r="EZ3" i="3"/>
  <c r="FA3" i="3"/>
  <c r="FB3" i="3"/>
  <c r="FC3" i="3"/>
  <c r="FD3" i="3"/>
  <c r="FE3" i="3"/>
  <c r="FF3" i="3"/>
  <c r="FG3" i="3"/>
  <c r="FH3" i="3"/>
  <c r="FI3" i="3"/>
  <c r="FJ3" i="3"/>
  <c r="FK3" i="3"/>
  <c r="FL3" i="3"/>
  <c r="FM3" i="3"/>
  <c r="FN3" i="3"/>
  <c r="FO3" i="3"/>
  <c r="FP3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GR3" i="3"/>
  <c r="GS3" i="3"/>
  <c r="GT3" i="3"/>
  <c r="GU3" i="3"/>
  <c r="GV3" i="3"/>
  <c r="GW3" i="3"/>
  <c r="GX3" i="3"/>
  <c r="GY3" i="3"/>
  <c r="GZ3" i="3"/>
  <c r="HA3" i="3"/>
  <c r="HB3" i="3"/>
  <c r="HC3" i="3"/>
  <c r="HD3" i="3"/>
  <c r="HE3" i="3"/>
  <c r="HF3" i="3"/>
  <c r="HG3" i="3"/>
  <c r="HH3" i="3"/>
  <c r="HI3" i="3"/>
  <c r="HJ3" i="3"/>
  <c r="HK3" i="3"/>
  <c r="HL3" i="3"/>
  <c r="HM3" i="3"/>
  <c r="HN3" i="3"/>
  <c r="HO3" i="3"/>
  <c r="HP3" i="3"/>
  <c r="HQ3" i="3"/>
  <c r="HR3" i="3"/>
  <c r="HS3" i="3"/>
  <c r="HT3" i="3"/>
  <c r="HU3" i="3"/>
  <c r="HV3" i="3"/>
  <c r="HW3" i="3"/>
  <c r="HX3" i="3"/>
  <c r="HY3" i="3"/>
  <c r="HZ3" i="3"/>
  <c r="IA3" i="3"/>
  <c r="IB3" i="3"/>
  <c r="IC3" i="3"/>
  <c r="ID3" i="3"/>
  <c r="IE3" i="3"/>
  <c r="IF3" i="3"/>
  <c r="IG3" i="3"/>
  <c r="IH3" i="3"/>
  <c r="II3" i="3"/>
  <c r="IJ3" i="3"/>
  <c r="IK3" i="3"/>
  <c r="IL3" i="3"/>
  <c r="IM3" i="3"/>
  <c r="IN3" i="3"/>
  <c r="IO3" i="3"/>
  <c r="IP3" i="3"/>
  <c r="IQ3" i="3"/>
  <c r="IR3" i="3"/>
  <c r="IS3" i="3"/>
  <c r="IT3" i="3"/>
  <c r="IU3" i="3"/>
  <c r="IV3" i="3"/>
  <c r="A2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EP2" i="3"/>
  <c r="EQ2" i="3"/>
  <c r="ER2" i="3"/>
  <c r="ES2" i="3"/>
  <c r="ET2" i="3"/>
  <c r="EU2" i="3"/>
  <c r="EV2" i="3"/>
  <c r="EW2" i="3"/>
  <c r="EX2" i="3"/>
  <c r="EY2" i="3"/>
  <c r="EZ2" i="3"/>
  <c r="FA2" i="3"/>
  <c r="FB2" i="3"/>
  <c r="FC2" i="3"/>
  <c r="FD2" i="3"/>
  <c r="FE2" i="3"/>
  <c r="FF2" i="3"/>
  <c r="FG2" i="3"/>
  <c r="FH2" i="3"/>
  <c r="FI2" i="3"/>
  <c r="FJ2" i="3"/>
  <c r="FK2" i="3"/>
  <c r="FL2" i="3"/>
  <c r="FM2" i="3"/>
  <c r="FN2" i="3"/>
  <c r="FO2" i="3"/>
  <c r="FP2" i="3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GR2" i="3"/>
  <c r="GS2" i="3"/>
  <c r="GT2" i="3"/>
  <c r="GU2" i="3"/>
  <c r="GV2" i="3"/>
  <c r="GW2" i="3"/>
  <c r="GX2" i="3"/>
  <c r="GY2" i="3"/>
  <c r="GZ2" i="3"/>
  <c r="HA2" i="3"/>
  <c r="HB2" i="3"/>
  <c r="HC2" i="3"/>
  <c r="HD2" i="3"/>
  <c r="HE2" i="3"/>
  <c r="HF2" i="3"/>
  <c r="HG2" i="3"/>
  <c r="HH2" i="3"/>
  <c r="HI2" i="3"/>
  <c r="HJ2" i="3"/>
  <c r="HK2" i="3"/>
  <c r="HL2" i="3"/>
  <c r="HM2" i="3"/>
  <c r="HN2" i="3"/>
  <c r="HO2" i="3"/>
  <c r="HP2" i="3"/>
  <c r="HQ2" i="3"/>
  <c r="HR2" i="3"/>
  <c r="HS2" i="3"/>
  <c r="HT2" i="3"/>
  <c r="HU2" i="3"/>
  <c r="HV2" i="3"/>
  <c r="HW2" i="3"/>
  <c r="HX2" i="3"/>
  <c r="HY2" i="3"/>
  <c r="HZ2" i="3"/>
  <c r="IA2" i="3"/>
  <c r="IB2" i="3"/>
  <c r="IC2" i="3"/>
  <c r="ID2" i="3"/>
  <c r="IE2" i="3"/>
  <c r="IF2" i="3"/>
  <c r="IG2" i="3"/>
  <c r="IH2" i="3"/>
  <c r="II2" i="3"/>
  <c r="IJ2" i="3"/>
  <c r="IK2" i="3"/>
  <c r="IL2" i="3"/>
  <c r="IM2" i="3"/>
  <c r="IN2" i="3"/>
  <c r="IO2" i="3"/>
  <c r="IP2" i="3"/>
  <c r="IQ2" i="3"/>
  <c r="IR2" i="3"/>
  <c r="IS2" i="3"/>
  <c r="IT2" i="3"/>
  <c r="IU2" i="3"/>
  <c r="IV2" i="3"/>
  <c r="A1" i="3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CF1" i="3"/>
  <c r="CG1" i="3"/>
  <c r="CH1" i="3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Y1" i="3"/>
  <c r="CZ1" i="3"/>
  <c r="DA1" i="3"/>
  <c r="DB1" i="3"/>
  <c r="DC1" i="3"/>
  <c r="DD1" i="3"/>
  <c r="DE1" i="3"/>
  <c r="DF1" i="3"/>
  <c r="DG1" i="3"/>
  <c r="DH1" i="3"/>
  <c r="DI1" i="3"/>
  <c r="DJ1" i="3"/>
  <c r="DK1" i="3"/>
  <c r="DL1" i="3"/>
  <c r="DM1" i="3"/>
  <c r="DN1" i="3"/>
  <c r="DO1" i="3"/>
  <c r="DP1" i="3"/>
  <c r="DQ1" i="3"/>
  <c r="DR1" i="3"/>
  <c r="DS1" i="3"/>
  <c r="DT1" i="3"/>
  <c r="DU1" i="3"/>
  <c r="DV1" i="3"/>
  <c r="DW1" i="3"/>
  <c r="DX1" i="3"/>
  <c r="DY1" i="3"/>
  <c r="DZ1" i="3"/>
  <c r="EA1" i="3"/>
  <c r="EB1" i="3"/>
  <c r="EC1" i="3"/>
  <c r="ED1" i="3"/>
  <c r="EE1" i="3"/>
  <c r="EF1" i="3"/>
  <c r="EG1" i="3"/>
  <c r="EH1" i="3"/>
  <c r="EI1" i="3"/>
  <c r="EJ1" i="3"/>
  <c r="EK1" i="3"/>
  <c r="EL1" i="3"/>
  <c r="EM1" i="3"/>
  <c r="EN1" i="3"/>
  <c r="EO1" i="3"/>
  <c r="EP1" i="3"/>
  <c r="EQ1" i="3"/>
  <c r="ER1" i="3"/>
  <c r="ES1" i="3"/>
  <c r="ET1" i="3"/>
  <c r="EU1" i="3"/>
  <c r="EV1" i="3"/>
  <c r="EW1" i="3"/>
  <c r="EX1" i="3"/>
  <c r="EY1" i="3"/>
  <c r="EZ1" i="3"/>
  <c r="FA1" i="3"/>
  <c r="FB1" i="3"/>
  <c r="FC1" i="3"/>
  <c r="FD1" i="3"/>
  <c r="FE1" i="3"/>
  <c r="FF1" i="3"/>
  <c r="FG1" i="3"/>
  <c r="FH1" i="3"/>
  <c r="FI1" i="3"/>
  <c r="FJ1" i="3"/>
  <c r="FK1" i="3"/>
  <c r="FL1" i="3"/>
  <c r="FM1" i="3"/>
  <c r="FN1" i="3"/>
  <c r="FO1" i="3"/>
  <c r="FP1" i="3"/>
  <c r="FQ1" i="3"/>
  <c r="FR1" i="3"/>
  <c r="FS1" i="3"/>
  <c r="FT1" i="3"/>
  <c r="FU1" i="3"/>
  <c r="FV1" i="3"/>
  <c r="FW1" i="3"/>
  <c r="FX1" i="3"/>
  <c r="FY1" i="3"/>
  <c r="FZ1" i="3"/>
  <c r="GA1" i="3"/>
  <c r="GB1" i="3"/>
  <c r="GC1" i="3"/>
  <c r="GD1" i="3"/>
  <c r="GE1" i="3"/>
  <c r="GF1" i="3"/>
  <c r="GG1" i="3"/>
  <c r="GH1" i="3"/>
  <c r="GI1" i="3"/>
  <c r="GJ1" i="3"/>
  <c r="GK1" i="3"/>
  <c r="GL1" i="3"/>
  <c r="GM1" i="3"/>
  <c r="GN1" i="3"/>
  <c r="GO1" i="3"/>
  <c r="GP1" i="3"/>
  <c r="GQ1" i="3"/>
  <c r="GR1" i="3"/>
  <c r="GS1" i="3"/>
  <c r="GT1" i="3"/>
  <c r="GU1" i="3"/>
  <c r="GV1" i="3"/>
  <c r="GW1" i="3"/>
  <c r="GX1" i="3"/>
  <c r="GY1" i="3"/>
  <c r="GZ1" i="3"/>
  <c r="HA1" i="3"/>
  <c r="HB1" i="3"/>
  <c r="HC1" i="3"/>
  <c r="HD1" i="3"/>
  <c r="HE1" i="3"/>
  <c r="HF1" i="3"/>
  <c r="HG1" i="3"/>
  <c r="HH1" i="3"/>
  <c r="HI1" i="3"/>
  <c r="HJ1" i="3"/>
  <c r="HK1" i="3"/>
  <c r="HL1" i="3"/>
  <c r="HM1" i="3"/>
  <c r="HN1" i="3"/>
  <c r="HO1" i="3"/>
  <c r="HP1" i="3"/>
  <c r="HQ1" i="3"/>
  <c r="HR1" i="3"/>
  <c r="HS1" i="3"/>
  <c r="HT1" i="3"/>
  <c r="HU1" i="3"/>
  <c r="HV1" i="3"/>
  <c r="HW1" i="3"/>
  <c r="HX1" i="3"/>
  <c r="HY1" i="3"/>
  <c r="HZ1" i="3"/>
  <c r="IA1" i="3"/>
  <c r="IB1" i="3"/>
  <c r="IC1" i="3"/>
  <c r="ID1" i="3"/>
  <c r="IE1" i="3"/>
  <c r="IF1" i="3"/>
  <c r="IG1" i="3"/>
  <c r="IH1" i="3"/>
  <c r="II1" i="3"/>
  <c r="IJ1" i="3"/>
  <c r="IK1" i="3"/>
  <c r="IL1" i="3"/>
  <c r="IM1" i="3"/>
  <c r="IN1" i="3"/>
  <c r="IO1" i="3"/>
  <c r="IP1" i="3"/>
  <c r="IQ1" i="3"/>
  <c r="IR1" i="3"/>
  <c r="IS1" i="3"/>
  <c r="IT1" i="3"/>
  <c r="IU1" i="3"/>
  <c r="IV1" i="3"/>
</calcChain>
</file>

<file path=xl/sharedStrings.xml><?xml version="1.0" encoding="utf-8"?>
<sst xmlns="http://schemas.openxmlformats.org/spreadsheetml/2006/main" count="349" uniqueCount="170">
  <si>
    <t>AAAAAHb7fzM=</t>
  </si>
  <si>
    <t>　　分類通識必修說明如下表</t>
    <phoneticPr fontId="2" type="noConversion"/>
  </si>
  <si>
    <t>網頁設計</t>
    <phoneticPr fontId="2" type="noConversion"/>
  </si>
  <si>
    <t>專業選修</t>
    <phoneticPr fontId="2" type="noConversion"/>
  </si>
  <si>
    <t>產業實務校外實習（一）</t>
    <phoneticPr fontId="2" type="noConversion"/>
  </si>
  <si>
    <t>產業實務校外實習（二）</t>
    <phoneticPr fontId="2" type="noConversion"/>
  </si>
  <si>
    <t>備註：</t>
    <phoneticPr fontId="2" type="noConversion"/>
  </si>
  <si>
    <t>資料壓縮概論</t>
  </si>
  <si>
    <t>專利概論</t>
  </si>
  <si>
    <t>工程‧倫理與社會</t>
    <phoneticPr fontId="2" type="noConversion"/>
  </si>
  <si>
    <t>程式設計能力檢定</t>
    <phoneticPr fontId="2" type="noConversion"/>
  </si>
  <si>
    <t>五、學生至少要取得本系專業選修學程中的一個，或工學院跨領域「智慧型機器人學分學程」，為其畢業之基本條件。</t>
    <phoneticPr fontId="2" type="noConversion"/>
  </si>
  <si>
    <t>七、必選課程為選修，不及格不必重修，開課當學期非本系之學生不必再補修。</t>
    <phoneticPr fontId="2" type="noConversion"/>
  </si>
  <si>
    <t>八、不同專業選修學程而有相同之課程者，不必重複修讀可以抵免。</t>
    <phoneticPr fontId="2" type="noConversion"/>
  </si>
  <si>
    <t>九、外語能力檢定實施方式依本校學生外語能力檢定實施辦法為之。</t>
    <phoneticPr fontId="2" type="noConversion"/>
  </si>
  <si>
    <t>十、專業證照實施方式依本校專業證照課程實施辦法為之。</t>
    <phoneticPr fontId="2" type="noConversion"/>
  </si>
  <si>
    <t>十一、程式設計能力檢定依本系程式設計能力檢定實施要點為之。</t>
    <phoneticPr fontId="2" type="noConversion"/>
  </si>
  <si>
    <t>十二、服務學習依本校服務學習必修課程實施要點為之。</t>
    <phoneticPr fontId="2" type="noConversion"/>
  </si>
  <si>
    <t>十三、選修科目可視需要增開、調整學分數及上課時數、調整開課學期。</t>
    <phoneticPr fontId="2" type="noConversion"/>
  </si>
  <si>
    <t>十四、每學期最高及最低應修學分數依本校學則及學生選課辦法規定辦理。</t>
    <phoneticPr fontId="2" type="noConversion"/>
  </si>
  <si>
    <t>十五、課程時序表以教務處網頁為準，若有修訂，將公告於本系網頁及教務處最新消息中。</t>
    <phoneticPr fontId="2" type="noConversion"/>
  </si>
  <si>
    <t>十六、本表請妥為保存，做為辦理選課、重（補）修、及畢業資格審查之參考。</t>
    <phoneticPr fontId="2" type="noConversion"/>
  </si>
  <si>
    <t>多媒體安全</t>
    <phoneticPr fontId="2" type="noConversion"/>
  </si>
  <si>
    <t xml:space="preserve">多媒體安全 </t>
    <phoneticPr fontId="2" type="noConversion"/>
  </si>
  <si>
    <t>車用電子系統導論</t>
    <phoneticPr fontId="2" type="noConversion"/>
  </si>
  <si>
    <t>行車紀錄系統應用專題</t>
    <phoneticPr fontId="2" type="noConversion"/>
  </si>
  <si>
    <t>通識必修</t>
    <phoneticPr fontId="2" type="noConversion"/>
  </si>
  <si>
    <t>資訊基本能力檢核</t>
  </si>
  <si>
    <t>密碼學概論</t>
    <phoneticPr fontId="2" type="noConversion"/>
  </si>
  <si>
    <r>
      <t>Windows Phone</t>
    </r>
    <r>
      <rPr>
        <sz val="9"/>
        <rFont val="新細明體"/>
        <family val="1"/>
        <charset val="136"/>
      </rPr>
      <t>程式設計</t>
    </r>
    <phoneticPr fontId="2" type="noConversion"/>
  </si>
  <si>
    <r>
      <t>SOPC</t>
    </r>
    <r>
      <rPr>
        <sz val="9"/>
        <rFont val="新細明體"/>
        <family val="1"/>
        <charset val="136"/>
      </rPr>
      <t>系統晶片設計與軟體實作</t>
    </r>
  </si>
  <si>
    <t>人文藝術領域</t>
  </si>
  <si>
    <t>科目類別</t>
    <phoneticPr fontId="2" type="noConversion"/>
  </si>
  <si>
    <t>學院專業基礎必修</t>
    <phoneticPr fontId="2" type="noConversion"/>
  </si>
  <si>
    <t>系核心專業必修</t>
    <phoneticPr fontId="2" type="noConversion"/>
  </si>
  <si>
    <t>多媒體應用學程</t>
    <phoneticPr fontId="2" type="noConversion"/>
  </si>
  <si>
    <t>行動裝置應用學程</t>
    <phoneticPr fontId="2" type="noConversion"/>
  </si>
  <si>
    <t>社會科學領域</t>
    <phoneticPr fontId="2" type="noConversion"/>
  </si>
  <si>
    <r>
      <rPr>
        <sz val="9"/>
        <rFont val="新細明體"/>
        <family val="1"/>
        <charset val="136"/>
      </rPr>
      <t>科目類別</t>
    </r>
    <phoneticPr fontId="2" type="noConversion"/>
  </si>
  <si>
    <r>
      <rPr>
        <sz val="9"/>
        <rFont val="新細明體"/>
        <family val="1"/>
        <charset val="136"/>
      </rPr>
      <t>通識必修</t>
    </r>
    <phoneticPr fontId="2" type="noConversion"/>
  </si>
  <si>
    <r>
      <rPr>
        <b/>
        <sz val="9"/>
        <rFont val="新細明體"/>
        <family val="1"/>
        <charset val="136"/>
      </rPr>
      <t>通識必修</t>
    </r>
    <phoneticPr fontId="2" type="noConversion"/>
  </si>
  <si>
    <r>
      <rPr>
        <sz val="9"/>
        <rFont val="新細明體"/>
        <family val="1"/>
        <charset val="136"/>
      </rPr>
      <t>學院專業基礎必修</t>
    </r>
    <phoneticPr fontId="2" type="noConversion"/>
  </si>
  <si>
    <r>
      <rPr>
        <b/>
        <sz val="9"/>
        <rFont val="新細明體"/>
        <family val="1"/>
        <charset val="136"/>
      </rPr>
      <t>學院專業基礎必修</t>
    </r>
    <phoneticPr fontId="2" type="noConversion"/>
  </si>
  <si>
    <r>
      <rPr>
        <sz val="9"/>
        <rFont val="新細明體"/>
        <family val="1"/>
        <charset val="136"/>
      </rPr>
      <t>系核心專業必修</t>
    </r>
    <phoneticPr fontId="2" type="noConversion"/>
  </si>
  <si>
    <r>
      <rPr>
        <b/>
        <sz val="9"/>
        <rFont val="新細明體"/>
        <family val="1"/>
        <charset val="136"/>
      </rPr>
      <t>系核心專業必修</t>
    </r>
    <phoneticPr fontId="2" type="noConversion"/>
  </si>
  <si>
    <r>
      <rPr>
        <sz val="9"/>
        <rFont val="新細明體"/>
        <family val="1"/>
        <charset val="136"/>
      </rPr>
      <t>專業選修</t>
    </r>
    <phoneticPr fontId="2" type="noConversion"/>
  </si>
  <si>
    <r>
      <rPr>
        <sz val="9"/>
        <rFont val="新細明體"/>
        <family val="1"/>
        <charset val="136"/>
      </rPr>
      <t>多媒體應用學程</t>
    </r>
    <phoneticPr fontId="2" type="noConversion"/>
  </si>
  <si>
    <r>
      <rPr>
        <sz val="9"/>
        <rFont val="新細明體"/>
        <family val="1"/>
        <charset val="136"/>
      </rPr>
      <t>行動裝置應用學程</t>
    </r>
    <phoneticPr fontId="2" type="noConversion"/>
  </si>
  <si>
    <t>1.分類通識必修共6類，每類必修2學分，合計12學分。
2.每學期以修讀一類2學分為原則。
3.需依網路選課相關規定上網選課。</t>
    <phoneticPr fontId="2" type="noConversion"/>
  </si>
  <si>
    <r>
      <rPr>
        <b/>
        <sz val="9"/>
        <rFont val="新細明體"/>
        <family val="1"/>
        <charset val="136"/>
      </rPr>
      <t>第一學年（</t>
    </r>
    <r>
      <rPr>
        <b/>
        <sz val="9"/>
        <rFont val="Times New Roman"/>
        <family val="1"/>
      </rPr>
      <t>101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9</t>
    </r>
    <r>
      <rPr>
        <b/>
        <sz val="9"/>
        <rFont val="新細明體"/>
        <family val="1"/>
        <charset val="136"/>
      </rPr>
      <t>月至</t>
    </r>
    <r>
      <rPr>
        <b/>
        <sz val="9"/>
        <rFont val="Times New Roman"/>
        <family val="1"/>
      </rPr>
      <t>102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6</t>
    </r>
    <r>
      <rPr>
        <b/>
        <sz val="9"/>
        <rFont val="新細明體"/>
        <family val="1"/>
        <charset val="136"/>
      </rPr>
      <t>月）</t>
    </r>
    <phoneticPr fontId="2" type="noConversion"/>
  </si>
  <si>
    <r>
      <rPr>
        <b/>
        <sz val="9"/>
        <rFont val="新細明體"/>
        <family val="1"/>
        <charset val="136"/>
      </rPr>
      <t>上學期</t>
    </r>
  </si>
  <si>
    <r>
      <rPr>
        <b/>
        <sz val="9"/>
        <rFont val="新細明體"/>
        <family val="1"/>
        <charset val="136"/>
      </rPr>
      <t>下學期</t>
    </r>
  </si>
  <si>
    <r>
      <rPr>
        <sz val="9"/>
        <rFont val="新細明體"/>
        <family val="1"/>
        <charset val="136"/>
      </rPr>
      <t>科目</t>
    </r>
    <phoneticPr fontId="2" type="noConversion"/>
  </si>
  <si>
    <r>
      <rPr>
        <sz val="9"/>
        <rFont val="新細明體"/>
        <family val="1"/>
        <charset val="136"/>
      </rPr>
      <t>學分</t>
    </r>
    <phoneticPr fontId="2" type="noConversion"/>
  </si>
  <si>
    <r>
      <rPr>
        <sz val="9"/>
        <rFont val="新細明體"/>
        <family val="1"/>
        <charset val="136"/>
      </rPr>
      <t>時數</t>
    </r>
    <phoneticPr fontId="2" type="noConversion"/>
  </si>
  <si>
    <r>
      <rPr>
        <sz val="9"/>
        <rFont val="新細明體"/>
        <family val="1"/>
        <charset val="136"/>
      </rPr>
      <t>課程代碼</t>
    </r>
    <phoneticPr fontId="2" type="noConversion"/>
  </si>
  <si>
    <r>
      <rPr>
        <sz val="9"/>
        <rFont val="新細明體"/>
        <family val="1"/>
        <charset val="136"/>
      </rPr>
      <t>國文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</si>
  <si>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國文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</si>
  <si>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</si>
  <si>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</si>
  <si>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分類通識必修</t>
    </r>
    <phoneticPr fontId="2" type="noConversion"/>
  </si>
  <si>
    <r>
      <rPr>
        <b/>
        <sz val="9"/>
        <rFont val="新細明體"/>
        <family val="1"/>
        <charset val="136"/>
      </rPr>
      <t>小計</t>
    </r>
    <phoneticPr fontId="2" type="noConversion"/>
  </si>
  <si>
    <r>
      <rPr>
        <sz val="9"/>
        <rFont val="新細明體"/>
        <family val="1"/>
        <charset val="136"/>
      </rPr>
      <t>微積分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</si>
  <si>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微積分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</si>
  <si>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物理</t>
    </r>
    <phoneticPr fontId="2" type="noConversion"/>
  </si>
  <si>
    <r>
      <rPr>
        <sz val="9"/>
        <rFont val="新細明體"/>
        <family val="1"/>
        <charset val="136"/>
      </rPr>
      <t>環安衛概論</t>
    </r>
    <phoneticPr fontId="2" type="noConversion"/>
  </si>
  <si>
    <r>
      <rPr>
        <sz val="9"/>
        <rFont val="新細明體"/>
        <family val="1"/>
        <charset val="136"/>
      </rPr>
      <t>計算機概論實習</t>
    </r>
    <phoneticPr fontId="2" type="noConversion"/>
  </si>
  <si>
    <r>
      <rPr>
        <sz val="9"/>
        <rFont val="新細明體"/>
        <family val="1"/>
        <charset val="136"/>
      </rPr>
      <t>計算機程式</t>
    </r>
    <phoneticPr fontId="2" type="noConversion"/>
  </si>
  <si>
    <r>
      <rPr>
        <sz val="9"/>
        <rFont val="新細明體"/>
        <family val="1"/>
        <charset val="136"/>
      </rPr>
      <t>物件導向程式設計</t>
    </r>
    <phoneticPr fontId="2" type="noConversion"/>
  </si>
  <si>
    <r>
      <rPr>
        <sz val="9"/>
        <rFont val="新細明體"/>
        <family val="1"/>
        <charset val="136"/>
      </rPr>
      <t>離散數學</t>
    </r>
    <phoneticPr fontId="2" type="noConversion"/>
  </si>
  <si>
    <r>
      <rPr>
        <sz val="9"/>
        <rFont val="新細明體"/>
        <family val="1"/>
        <charset val="136"/>
      </rPr>
      <t>線性代數</t>
    </r>
    <phoneticPr fontId="2" type="noConversion"/>
  </si>
  <si>
    <r>
      <rPr>
        <sz val="9"/>
        <rFont val="新細明體"/>
        <family val="1"/>
        <charset val="136"/>
      </rPr>
      <t>套裝程式應用</t>
    </r>
    <phoneticPr fontId="2" type="noConversion"/>
  </si>
  <si>
    <r>
      <rPr>
        <sz val="9"/>
        <rFont val="新細明體"/>
        <family val="1"/>
        <charset val="136"/>
      </rPr>
      <t>工程模擬軟體應用</t>
    </r>
    <phoneticPr fontId="2" type="noConversion"/>
  </si>
  <si>
    <r>
      <t>Linux</t>
    </r>
    <r>
      <rPr>
        <sz val="9"/>
        <rFont val="新細明體"/>
        <family val="1"/>
        <charset val="136"/>
      </rPr>
      <t>系統概論</t>
    </r>
    <phoneticPr fontId="2" type="noConversion"/>
  </si>
  <si>
    <r>
      <rPr>
        <sz val="9"/>
        <rFont val="新細明體"/>
        <family val="1"/>
        <charset val="136"/>
      </rPr>
      <t>科學計算軟體應用</t>
    </r>
    <phoneticPr fontId="2" type="noConversion"/>
  </si>
  <si>
    <r>
      <rPr>
        <b/>
        <sz val="9"/>
        <rFont val="新細明體"/>
        <family val="1"/>
        <charset val="136"/>
      </rPr>
      <t>第二學年（</t>
    </r>
    <r>
      <rPr>
        <b/>
        <sz val="9"/>
        <rFont val="Times New Roman"/>
        <family val="1"/>
      </rPr>
      <t>102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9</t>
    </r>
    <r>
      <rPr>
        <b/>
        <sz val="9"/>
        <rFont val="新細明體"/>
        <family val="1"/>
        <charset val="136"/>
      </rPr>
      <t>月至</t>
    </r>
    <r>
      <rPr>
        <b/>
        <sz val="9"/>
        <rFont val="Times New Roman"/>
        <family val="1"/>
      </rPr>
      <t>103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6</t>
    </r>
    <r>
      <rPr>
        <b/>
        <sz val="9"/>
        <rFont val="新細明體"/>
        <family val="1"/>
        <charset val="136"/>
      </rPr>
      <t>月）</t>
    </r>
    <phoneticPr fontId="2" type="noConversion"/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</si>
  <si>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三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</si>
  <si>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體育生活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四</t>
    </r>
    <r>
      <rPr>
        <sz val="9"/>
        <rFont val="Times New Roman"/>
        <family val="1"/>
      </rPr>
      <t>)</t>
    </r>
  </si>
  <si>
    <r>
      <rPr>
        <sz val="9"/>
        <rFont val="新細明體"/>
        <family val="1"/>
        <charset val="136"/>
      </rPr>
      <t>台灣與世界</t>
    </r>
  </si>
  <si>
    <r>
      <rPr>
        <sz val="9"/>
        <rFont val="新細明體"/>
        <family val="1"/>
        <charset val="136"/>
      </rPr>
      <t>微處理機應用與實習</t>
    </r>
    <phoneticPr fontId="2" type="noConversion"/>
  </si>
  <si>
    <r>
      <rPr>
        <sz val="9"/>
        <rFont val="新細明體"/>
        <family val="1"/>
        <charset val="136"/>
      </rPr>
      <t>系統程式</t>
    </r>
    <phoneticPr fontId="2" type="noConversion"/>
  </si>
  <si>
    <r>
      <rPr>
        <sz val="9"/>
        <rFont val="新細明體"/>
        <family val="1"/>
        <charset val="136"/>
      </rPr>
      <t>資料結構</t>
    </r>
    <phoneticPr fontId="2" type="noConversion"/>
  </si>
  <si>
    <r>
      <rPr>
        <sz val="9"/>
        <rFont val="新細明體"/>
        <family val="1"/>
        <charset val="136"/>
      </rPr>
      <t>機率與統計</t>
    </r>
    <phoneticPr fontId="2" type="noConversion"/>
  </si>
  <si>
    <r>
      <rPr>
        <sz val="9"/>
        <rFont val="新細明體"/>
        <family val="1"/>
        <charset val="136"/>
      </rPr>
      <t>數位系統導論</t>
    </r>
    <phoneticPr fontId="2" type="noConversion"/>
  </si>
  <si>
    <r>
      <rPr>
        <sz val="9"/>
        <rFont val="新細明體"/>
        <family val="1"/>
        <charset val="136"/>
      </rPr>
      <t>計算機組織</t>
    </r>
    <phoneticPr fontId="2" type="noConversion"/>
  </si>
  <si>
    <r>
      <rPr>
        <sz val="9"/>
        <rFont val="新細明體"/>
        <family val="1"/>
        <charset val="136"/>
      </rPr>
      <t>工程數學</t>
    </r>
    <phoneticPr fontId="2" type="noConversion"/>
  </si>
  <si>
    <r>
      <rPr>
        <sz val="9"/>
        <rFont val="新細明體"/>
        <family val="1"/>
        <charset val="136"/>
      </rPr>
      <t>視窗程式設計</t>
    </r>
    <phoneticPr fontId="2" type="noConversion"/>
  </si>
  <si>
    <r>
      <t>JAVA</t>
    </r>
    <r>
      <rPr>
        <sz val="9"/>
        <rFont val="新細明體"/>
        <family val="1"/>
        <charset val="136"/>
      </rPr>
      <t>程式設計</t>
    </r>
    <phoneticPr fontId="2" type="noConversion"/>
  </si>
  <si>
    <r>
      <t>Linux</t>
    </r>
    <r>
      <rPr>
        <sz val="9"/>
        <rFont val="新細明體"/>
        <family val="1"/>
        <charset val="136"/>
      </rPr>
      <t>程式設計</t>
    </r>
    <phoneticPr fontId="2" type="noConversion"/>
  </si>
  <si>
    <r>
      <rPr>
        <sz val="9"/>
        <rFont val="新細明體"/>
        <family val="1"/>
        <charset val="136"/>
      </rPr>
      <t>數位系統晶片設計概論</t>
    </r>
    <phoneticPr fontId="2" type="noConversion"/>
  </si>
  <si>
    <r>
      <t>LabVIEW</t>
    </r>
    <r>
      <rPr>
        <sz val="9"/>
        <rFont val="新細明體"/>
        <family val="1"/>
        <charset val="136"/>
      </rPr>
      <t>互動式介面設計</t>
    </r>
    <phoneticPr fontId="2" type="noConversion"/>
  </si>
  <si>
    <r>
      <rPr>
        <sz val="9"/>
        <rFont val="新細明體"/>
        <family val="1"/>
        <charset val="136"/>
      </rPr>
      <t>嵌入式微處理器系統</t>
    </r>
    <phoneticPr fontId="2" type="noConversion"/>
  </si>
  <si>
    <r>
      <rPr>
        <b/>
        <sz val="9"/>
        <rFont val="新細明體"/>
        <family val="1"/>
        <charset val="136"/>
      </rPr>
      <t>第三學年（</t>
    </r>
    <r>
      <rPr>
        <b/>
        <sz val="9"/>
        <rFont val="Times New Roman"/>
        <family val="1"/>
      </rPr>
      <t>103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9</t>
    </r>
    <r>
      <rPr>
        <b/>
        <sz val="9"/>
        <rFont val="新細明體"/>
        <family val="1"/>
        <charset val="136"/>
      </rPr>
      <t>月至</t>
    </r>
    <r>
      <rPr>
        <b/>
        <sz val="9"/>
        <rFont val="Times New Roman"/>
        <family val="1"/>
      </rPr>
      <t>104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6</t>
    </r>
    <r>
      <rPr>
        <b/>
        <sz val="9"/>
        <rFont val="新細明體"/>
        <family val="1"/>
        <charset val="136"/>
      </rPr>
      <t>月）</t>
    </r>
    <phoneticPr fontId="2" type="noConversion"/>
  </si>
  <si>
    <r>
      <rPr>
        <sz val="9"/>
        <rFont val="新細明體"/>
        <family val="1"/>
        <charset val="136"/>
      </rPr>
      <t>計算機網路</t>
    </r>
    <phoneticPr fontId="2" type="noConversion"/>
  </si>
  <si>
    <r>
      <rPr>
        <sz val="9"/>
        <rFont val="新細明體"/>
        <family val="1"/>
        <charset val="136"/>
      </rPr>
      <t>演算法</t>
    </r>
    <phoneticPr fontId="2" type="noConversion"/>
  </si>
  <si>
    <r>
      <rPr>
        <sz val="9"/>
        <rFont val="新細明體"/>
        <family val="1"/>
        <charset val="136"/>
      </rPr>
      <t>作業系統</t>
    </r>
    <phoneticPr fontId="2" type="noConversion"/>
  </si>
  <si>
    <r>
      <rPr>
        <sz val="9"/>
        <rFont val="新細明體"/>
        <family val="1"/>
        <charset val="136"/>
      </rPr>
      <t>軟體工程</t>
    </r>
    <phoneticPr fontId="2" type="noConversion"/>
  </si>
  <si>
    <r>
      <rPr>
        <sz val="9"/>
        <rFont val="新細明體"/>
        <family val="1"/>
        <charset val="136"/>
      </rPr>
      <t>專題實務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</si>
  <si>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多媒體概論</t>
    </r>
  </si>
  <si>
    <r>
      <t>Android</t>
    </r>
    <r>
      <rPr>
        <sz val="9"/>
        <rFont val="新細明體"/>
        <family val="1"/>
        <charset val="136"/>
      </rPr>
      <t>程式設計</t>
    </r>
  </si>
  <si>
    <r>
      <rPr>
        <sz val="9"/>
        <rFont val="新細明體"/>
        <family val="1"/>
        <charset val="136"/>
      </rPr>
      <t>數位影像處理概論</t>
    </r>
  </si>
  <si>
    <r>
      <rPr>
        <sz val="9"/>
        <rFont val="新細明體"/>
        <family val="1"/>
        <charset val="136"/>
      </rPr>
      <t>數位訊號處理概論</t>
    </r>
  </si>
  <si>
    <r>
      <rPr>
        <sz val="9"/>
        <rFont val="新細明體"/>
        <family val="1"/>
        <charset val="136"/>
      </rPr>
      <t>電腦遊戲設計</t>
    </r>
  </si>
  <si>
    <r>
      <t>3D</t>
    </r>
    <r>
      <rPr>
        <sz val="9"/>
        <rFont val="新細明體"/>
        <family val="1"/>
        <charset val="136"/>
      </rPr>
      <t>遊戲程式設計</t>
    </r>
  </si>
  <si>
    <r>
      <rPr>
        <sz val="9"/>
        <rFont val="新細明體"/>
        <family val="1"/>
        <charset val="136"/>
      </rPr>
      <t>嵌入式系統實務</t>
    </r>
    <phoneticPr fontId="2" type="noConversion"/>
  </si>
  <si>
    <r>
      <rPr>
        <sz val="9"/>
        <rFont val="新細明體"/>
        <family val="1"/>
        <charset val="136"/>
      </rPr>
      <t>網路程式設計</t>
    </r>
  </si>
  <si>
    <r>
      <rPr>
        <sz val="9"/>
        <rFont val="新細明體"/>
        <family val="1"/>
        <charset val="136"/>
      </rPr>
      <t>資料庫系統</t>
    </r>
  </si>
  <si>
    <r>
      <rPr>
        <sz val="9"/>
        <rFont val="新細明體"/>
        <family val="1"/>
        <charset val="136"/>
      </rPr>
      <t>動態程式語言</t>
    </r>
  </si>
  <si>
    <r>
      <t>JavaScript</t>
    </r>
    <r>
      <rPr>
        <sz val="9"/>
        <rFont val="新細明體"/>
        <family val="1"/>
        <charset val="136"/>
      </rPr>
      <t>程式設計</t>
    </r>
    <phoneticPr fontId="2" type="noConversion"/>
  </si>
  <si>
    <r>
      <rPr>
        <sz val="9"/>
        <rFont val="新細明體"/>
        <family val="1"/>
        <charset val="136"/>
      </rPr>
      <t>資料庫程式設計</t>
    </r>
  </si>
  <si>
    <r>
      <rPr>
        <sz val="9"/>
        <rFont val="新細明體"/>
        <family val="1"/>
        <charset val="136"/>
      </rPr>
      <t>數值方法與分析</t>
    </r>
    <phoneticPr fontId="2" type="noConversion"/>
  </si>
  <si>
    <r>
      <rPr>
        <b/>
        <sz val="9"/>
        <rFont val="新細明體"/>
        <family val="1"/>
        <charset val="136"/>
      </rPr>
      <t>第四學年（</t>
    </r>
    <r>
      <rPr>
        <b/>
        <sz val="9"/>
        <rFont val="Times New Roman"/>
        <family val="1"/>
      </rPr>
      <t>104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9</t>
    </r>
    <r>
      <rPr>
        <b/>
        <sz val="9"/>
        <rFont val="新細明體"/>
        <family val="1"/>
        <charset val="136"/>
      </rPr>
      <t>月至</t>
    </r>
    <r>
      <rPr>
        <b/>
        <sz val="9"/>
        <rFont val="Times New Roman"/>
        <family val="1"/>
      </rPr>
      <t>105</t>
    </r>
    <r>
      <rPr>
        <b/>
        <sz val="9"/>
        <rFont val="新細明體"/>
        <family val="1"/>
        <charset val="136"/>
      </rPr>
      <t>年</t>
    </r>
    <r>
      <rPr>
        <b/>
        <sz val="9"/>
        <rFont val="Times New Roman"/>
        <family val="1"/>
      </rPr>
      <t>6</t>
    </r>
    <r>
      <rPr>
        <b/>
        <sz val="9"/>
        <rFont val="新細明體"/>
        <family val="1"/>
        <charset val="136"/>
      </rPr>
      <t>月）</t>
    </r>
    <phoneticPr fontId="2" type="noConversion"/>
  </si>
  <si>
    <r>
      <rPr>
        <sz val="9"/>
        <rFont val="新細明體"/>
        <family val="1"/>
        <charset val="136"/>
      </rPr>
      <t>專題實務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</si>
  <si>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專業證照</t>
    </r>
    <phoneticPr fontId="2" type="noConversion"/>
  </si>
  <si>
    <r>
      <rPr>
        <sz val="9"/>
        <rFont val="新細明體"/>
        <family val="1"/>
        <charset val="136"/>
      </rPr>
      <t>數位電視</t>
    </r>
  </si>
  <si>
    <r>
      <rPr>
        <sz val="9"/>
        <rFont val="新細明體"/>
        <family val="1"/>
        <charset val="136"/>
      </rPr>
      <t>專利概論</t>
    </r>
  </si>
  <si>
    <r>
      <rPr>
        <sz val="9"/>
        <rFont val="新細明體"/>
        <family val="1"/>
        <charset val="136"/>
      </rPr>
      <t>計算機視覺概論</t>
    </r>
  </si>
  <si>
    <r>
      <rPr>
        <sz val="9"/>
        <rFont val="新細明體"/>
        <family val="1"/>
        <charset val="136"/>
      </rPr>
      <t>高階硬體描述語言</t>
    </r>
  </si>
  <si>
    <r>
      <t>iOS</t>
    </r>
    <r>
      <rPr>
        <sz val="9"/>
        <rFont val="新細明體"/>
        <family val="1"/>
        <charset val="136"/>
      </rPr>
      <t>程式設計</t>
    </r>
  </si>
  <si>
    <r>
      <rPr>
        <sz val="9"/>
        <rFont val="新細明體"/>
        <family val="1"/>
        <charset val="136"/>
      </rPr>
      <t>伺服器網頁語言</t>
    </r>
  </si>
  <si>
    <r>
      <rPr>
        <sz val="9"/>
        <rFont val="新細明體"/>
        <family val="1"/>
        <charset val="136"/>
      </rPr>
      <t>網站開發專題</t>
    </r>
  </si>
  <si>
    <r>
      <rPr>
        <sz val="9"/>
        <rFont val="新細明體"/>
        <family val="1"/>
        <charset val="136"/>
      </rPr>
      <t>網路安全</t>
    </r>
  </si>
  <si>
    <r>
      <rPr>
        <sz val="9"/>
        <rFont val="新細明體"/>
        <family val="1"/>
        <charset val="136"/>
      </rPr>
      <t>資訊科技產業論壇</t>
    </r>
    <phoneticPr fontId="2" type="noConversion"/>
  </si>
  <si>
    <r>
      <rPr>
        <sz val="9"/>
        <rFont val="新細明體"/>
        <family val="1"/>
        <charset val="136"/>
      </rPr>
      <t>科技英文</t>
    </r>
    <phoneticPr fontId="2" type="noConversion"/>
  </si>
  <si>
    <r>
      <rPr>
        <sz val="9"/>
        <rFont val="新細明體"/>
        <family val="1"/>
        <charset val="136"/>
      </rPr>
      <t>人文經典類</t>
    </r>
  </si>
  <si>
    <r>
      <rPr>
        <sz val="9"/>
        <rFont val="新細明體"/>
        <family val="1"/>
        <charset val="136"/>
      </rPr>
      <t>必修</t>
    </r>
    <r>
      <rPr>
        <sz val="9"/>
        <rFont val="Times New Roman"/>
        <family val="1"/>
      </rPr>
      <t>2</t>
    </r>
    <r>
      <rPr>
        <sz val="9"/>
        <rFont val="新細明體"/>
        <family val="1"/>
        <charset val="136"/>
      </rPr>
      <t>學分</t>
    </r>
  </si>
  <si>
    <r>
      <rPr>
        <sz val="9"/>
        <rFont val="新細明體"/>
        <family val="1"/>
        <charset val="136"/>
      </rPr>
      <t>藝術美學類</t>
    </r>
  </si>
  <si>
    <r>
      <rPr>
        <sz val="9"/>
        <rFont val="新細明體"/>
        <family val="1"/>
        <charset val="136"/>
      </rPr>
      <t>哲學思維類</t>
    </r>
  </si>
  <si>
    <r>
      <rPr>
        <sz val="9"/>
        <rFont val="新細明體"/>
        <family val="1"/>
        <charset val="136"/>
      </rPr>
      <t>歷史文化類</t>
    </r>
  </si>
  <si>
    <r>
      <rPr>
        <sz val="9"/>
        <rFont val="新細明體"/>
        <family val="1"/>
        <charset val="136"/>
      </rPr>
      <t>法政與社會類</t>
    </r>
  </si>
  <si>
    <r>
      <rPr>
        <sz val="9"/>
        <rFont val="新細明體"/>
        <family val="1"/>
        <charset val="136"/>
      </rPr>
      <t>商管經濟類</t>
    </r>
  </si>
  <si>
    <r>
      <rPr>
        <sz val="9"/>
        <rFont val="新細明體"/>
        <family val="1"/>
        <charset val="136"/>
      </rPr>
      <t>六、可被承認為畢業學分之選修學分如下：（</t>
    </r>
    <r>
      <rPr>
        <sz val="9"/>
        <rFont val="Times New Roman"/>
        <family val="1"/>
      </rPr>
      <t>1</t>
    </r>
    <r>
      <rPr>
        <sz val="9"/>
        <rFont val="新細明體"/>
        <family val="1"/>
        <charset val="136"/>
      </rPr>
      <t>）本系之專業選修學程學分（</t>
    </r>
    <r>
      <rPr>
        <sz val="9"/>
        <rFont val="Times New Roman"/>
        <family val="1"/>
      </rPr>
      <t>2</t>
    </r>
    <r>
      <rPr>
        <sz val="9"/>
        <rFont val="新細明體"/>
        <family val="1"/>
        <charset val="136"/>
      </rPr>
      <t>）本系開設之專業選修學分（</t>
    </r>
    <r>
      <rPr>
        <sz val="9"/>
        <rFont val="Times New Roman"/>
        <family val="1"/>
      </rPr>
      <t>3</t>
    </r>
    <r>
      <rPr>
        <sz val="9"/>
        <rFont val="新細明體"/>
        <family val="1"/>
        <charset val="136"/>
      </rPr>
      <t>）外系開設之專業選修學程（至少</t>
    </r>
    <r>
      <rPr>
        <sz val="9"/>
        <rFont val="Times New Roman"/>
        <family val="1"/>
      </rPr>
      <t>20</t>
    </r>
    <r>
      <rPr>
        <sz val="9"/>
        <rFont val="新細明體"/>
        <family val="1"/>
        <charset val="136"/>
      </rPr>
      <t>學分）（</t>
    </r>
    <r>
      <rPr>
        <sz val="9"/>
        <rFont val="Times New Roman"/>
        <family val="1"/>
      </rPr>
      <t>4</t>
    </r>
    <r>
      <rPr>
        <sz val="9"/>
        <rFont val="新細明體"/>
        <family val="1"/>
        <charset val="136"/>
      </rPr>
      <t>）取得跨領域學分學程證明書之學分（</t>
    </r>
    <r>
      <rPr>
        <sz val="9"/>
        <rFont val="Times New Roman"/>
        <family val="1"/>
      </rPr>
      <t>5</t>
    </r>
    <r>
      <rPr>
        <sz val="9"/>
        <rFont val="新細明體"/>
        <family val="1"/>
        <charset val="136"/>
      </rPr>
      <t>）未取得第（</t>
    </r>
    <r>
      <rPr>
        <sz val="9"/>
        <rFont val="Times New Roman"/>
        <family val="1"/>
      </rPr>
      <t>3</t>
    </r>
    <r>
      <rPr>
        <sz val="9"/>
        <rFont val="新細明體"/>
        <family val="1"/>
        <charset val="136"/>
      </rPr>
      <t>）或（</t>
    </r>
    <r>
      <rPr>
        <sz val="9"/>
        <rFont val="Times New Roman"/>
        <family val="1"/>
      </rPr>
      <t>4</t>
    </r>
    <r>
      <rPr>
        <sz val="9"/>
        <rFont val="新細明體"/>
        <family val="1"/>
        <charset val="136"/>
      </rPr>
      <t>）項之學分者，其他外系開設之課程最多承認</t>
    </r>
    <r>
      <rPr>
        <sz val="9"/>
        <rFont val="Times New Roman"/>
        <family val="1"/>
      </rPr>
      <t>6</t>
    </r>
    <r>
      <rPr>
        <sz val="9"/>
        <rFont val="新細明體"/>
        <family val="1"/>
        <charset val="136"/>
      </rPr>
      <t>學分。</t>
    </r>
    <phoneticPr fontId="2" type="noConversion"/>
  </si>
  <si>
    <r>
      <t>(</t>
    </r>
    <r>
      <rPr>
        <sz val="8"/>
        <rFont val="新細明體"/>
        <family val="1"/>
        <charset val="136"/>
      </rPr>
      <t>註十七</t>
    </r>
    <r>
      <rPr>
        <sz val="8"/>
        <rFont val="Times New Roman"/>
        <family val="1"/>
      </rPr>
      <t>)</t>
    </r>
    <phoneticPr fontId="2" type="noConversion"/>
  </si>
  <si>
    <t>二、學院專業基礎必修工程‧倫理與社會課程共分為「工程倫理」、「科技、倫理與社會」及「工程與社會專題」三門課，各2學分。學生必須修讀其中一門。</t>
    <phoneticPr fontId="2" type="noConversion"/>
  </si>
  <si>
    <r>
      <rPr>
        <sz val="9"/>
        <rFont val="新細明體"/>
        <family val="1"/>
        <charset val="136"/>
      </rPr>
      <t>外語能力檢定</t>
    </r>
    <phoneticPr fontId="2" type="noConversion"/>
  </si>
  <si>
    <r>
      <rPr>
        <sz val="9"/>
        <rFont val="新細明體"/>
        <family val="1"/>
        <charset val="136"/>
      </rPr>
      <t>三、通識必修共</t>
    </r>
    <r>
      <rPr>
        <sz val="9"/>
        <rFont val="Times New Roman"/>
        <family val="1"/>
      </rPr>
      <t>32</t>
    </r>
    <r>
      <rPr>
        <sz val="9"/>
        <rFont val="新細明體"/>
        <family val="1"/>
        <charset val="136"/>
      </rPr>
      <t>學分，其中基礎通識必修</t>
    </r>
    <r>
      <rPr>
        <sz val="9"/>
        <rFont val="Times New Roman"/>
        <family val="1"/>
      </rPr>
      <t>20</t>
    </r>
    <r>
      <rPr>
        <sz val="9"/>
        <rFont val="新細明體"/>
        <family val="1"/>
        <charset val="136"/>
      </rPr>
      <t>學分，分類通識必修</t>
    </r>
    <r>
      <rPr>
        <sz val="9"/>
        <rFont val="Times New Roman"/>
        <family val="1"/>
      </rPr>
      <t>12</t>
    </r>
    <r>
      <rPr>
        <sz val="9"/>
        <rFont val="新細明體"/>
        <family val="1"/>
        <charset val="136"/>
      </rPr>
      <t>學分。</t>
    </r>
    <phoneticPr fontId="2" type="noConversion"/>
  </si>
  <si>
    <r>
      <rPr>
        <sz val="9"/>
        <rFont val="新細明體"/>
        <family val="1"/>
        <charset val="136"/>
      </rPr>
      <t>英語聽力訓練</t>
    </r>
    <phoneticPr fontId="2" type="noConversion"/>
  </si>
  <si>
    <r>
      <rPr>
        <sz val="9"/>
        <rFont val="新細明體"/>
        <family val="1"/>
        <charset val="136"/>
      </rPr>
      <t>英語口語溝通</t>
    </r>
    <phoneticPr fontId="2" type="noConversion"/>
  </si>
  <si>
    <r>
      <rPr>
        <sz val="9"/>
        <rFont val="新細明體"/>
        <family val="1"/>
        <charset val="136"/>
      </rPr>
      <t>勞作教育與服務學習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</si>
  <si>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勞作教育與服務學習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</si>
  <si>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大學入門</t>
    </r>
    <phoneticPr fontId="2" type="noConversion"/>
  </si>
  <si>
    <r>
      <rPr>
        <sz val="9"/>
        <rFont val="新細明體"/>
        <family val="1"/>
        <charset val="136"/>
      </rPr>
      <t>專業英語溝通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一</t>
    </r>
    <r>
      <rPr>
        <sz val="9"/>
        <rFont val="Times New Roman"/>
        <family val="1"/>
      </rPr>
      <t>)</t>
    </r>
    <phoneticPr fontId="2" type="noConversion"/>
  </si>
  <si>
    <r>
      <rPr>
        <sz val="9"/>
        <rFont val="新細明體"/>
        <family val="1"/>
        <charset val="136"/>
      </rPr>
      <t>專業英語溝通</t>
    </r>
    <r>
      <rPr>
        <sz val="9"/>
        <rFont val="Times New Roman"/>
        <family val="1"/>
      </rPr>
      <t>(</t>
    </r>
    <r>
      <rPr>
        <sz val="9"/>
        <rFont val="新細明體"/>
        <family val="1"/>
        <charset val="136"/>
      </rPr>
      <t>二</t>
    </r>
    <r>
      <rPr>
        <sz val="9"/>
        <rFont val="Times New Roman"/>
        <family val="1"/>
      </rPr>
      <t>)</t>
    </r>
    <phoneticPr fontId="2" type="noConversion"/>
  </si>
  <si>
    <t>產業實務暑期校外實習</t>
    <phoneticPr fontId="2" type="noConversion"/>
  </si>
  <si>
    <t>資訊安全</t>
    <phoneticPr fontId="2" type="noConversion"/>
  </si>
  <si>
    <t>醫學影像系統開發與實作</t>
    <phoneticPr fontId="2" type="noConversion"/>
  </si>
  <si>
    <t>工程與社會專題</t>
    <phoneticPr fontId="2" type="noConversion"/>
  </si>
  <si>
    <t>程式設計實務</t>
    <phoneticPr fontId="2" type="noConversion"/>
  </si>
  <si>
    <t>圖形化介面設計</t>
    <phoneticPr fontId="2" type="noConversion"/>
  </si>
  <si>
    <r>
      <rPr>
        <b/>
        <sz val="10"/>
        <rFont val="新細明體"/>
        <family val="1"/>
        <charset val="136"/>
      </rPr>
      <t>南臺科技大學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  <charset val="136"/>
      </rPr>
      <t>四年制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  <charset val="136"/>
      </rPr>
      <t>資訊工程系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  <charset val="136"/>
      </rPr>
      <t>課程時序表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  <charset val="136"/>
      </rPr>
      <t>第</t>
    </r>
    <r>
      <rPr>
        <b/>
        <sz val="10"/>
        <rFont val="Times New Roman"/>
        <family val="1"/>
      </rPr>
      <t>11</t>
    </r>
    <r>
      <rPr>
        <b/>
        <sz val="10"/>
        <rFont val="新細明體"/>
        <family val="1"/>
        <charset val="136"/>
      </rPr>
      <t>屆</t>
    </r>
    <r>
      <rPr>
        <b/>
        <sz val="10"/>
        <rFont val="Times New Roman"/>
        <family val="1"/>
      </rPr>
      <t>)  101</t>
    </r>
    <r>
      <rPr>
        <b/>
        <sz val="10"/>
        <rFont val="新細明體"/>
        <family val="1"/>
        <charset val="136"/>
      </rPr>
      <t>年</t>
    </r>
    <r>
      <rPr>
        <b/>
        <sz val="10"/>
        <rFont val="Times New Roman"/>
        <family val="1"/>
      </rPr>
      <t xml:space="preserve"> 9 </t>
    </r>
    <r>
      <rPr>
        <b/>
        <sz val="10"/>
        <rFont val="新細明體"/>
        <family val="1"/>
        <charset val="136"/>
      </rPr>
      <t>月實施</t>
    </r>
    <phoneticPr fontId="2" type="noConversion"/>
  </si>
  <si>
    <t>校外實習</t>
    <phoneticPr fontId="2" type="noConversion"/>
  </si>
  <si>
    <r>
      <rPr>
        <sz val="9"/>
        <rFont val="新細明體"/>
        <family val="1"/>
        <charset val="136"/>
      </rPr>
      <t>一、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  <charset val="136"/>
      </rPr>
      <t>總畢業學分數</t>
    </r>
    <r>
      <rPr>
        <sz val="9"/>
        <rFont val="Times New Roman"/>
        <family val="1"/>
      </rPr>
      <t>133</t>
    </r>
    <r>
      <rPr>
        <sz val="9"/>
        <rFont val="新細明體"/>
        <family val="1"/>
        <charset val="136"/>
      </rPr>
      <t>學分，包括通識必修</t>
    </r>
    <r>
      <rPr>
        <sz val="9"/>
        <rFont val="Times New Roman"/>
        <family val="1"/>
      </rPr>
      <t>32</t>
    </r>
    <r>
      <rPr>
        <sz val="9"/>
        <rFont val="新細明體"/>
        <family val="1"/>
        <charset val="136"/>
      </rPr>
      <t>學分、學院專業基礎必修</t>
    </r>
    <r>
      <rPr>
        <sz val="9"/>
        <rFont val="Times New Roman"/>
        <family val="1"/>
      </rPr>
      <t>15</t>
    </r>
    <r>
      <rPr>
        <sz val="9"/>
        <rFont val="新細明體"/>
        <family val="1"/>
        <charset val="136"/>
      </rPr>
      <t>學分、系核心專業必修</t>
    </r>
    <r>
      <rPr>
        <sz val="9"/>
        <rFont val="Times New Roman"/>
        <family val="1"/>
      </rPr>
      <t>47</t>
    </r>
    <r>
      <rPr>
        <sz val="9"/>
        <rFont val="新細明體"/>
        <family val="1"/>
        <charset val="136"/>
      </rPr>
      <t>學分、選修</t>
    </r>
    <r>
      <rPr>
        <sz val="9"/>
        <rFont val="Times New Roman"/>
        <family val="1"/>
      </rPr>
      <t>39</t>
    </r>
    <r>
      <rPr>
        <sz val="9"/>
        <rFont val="新細明體"/>
        <family val="1"/>
        <charset val="136"/>
      </rPr>
      <t>學分。</t>
    </r>
    <phoneticPr fontId="2" type="noConversion"/>
  </si>
  <si>
    <t>Hadoop大數據運算</t>
    <phoneticPr fontId="2" type="noConversion"/>
  </si>
  <si>
    <t>雲端網路應用學程</t>
    <phoneticPr fontId="2" type="noConversion"/>
  </si>
  <si>
    <t>雲端網路應用學程</t>
    <phoneticPr fontId="2" type="noConversion"/>
  </si>
  <si>
    <t>虛擬化技術</t>
    <phoneticPr fontId="2" type="noConversion"/>
  </si>
  <si>
    <t>網路作業系統</t>
    <phoneticPr fontId="2" type="noConversion"/>
  </si>
  <si>
    <t>多媒體應用學程</t>
    <phoneticPr fontId="2" type="noConversion"/>
  </si>
  <si>
    <r>
      <rPr>
        <sz val="9"/>
        <rFont val="新細明體"/>
        <family val="1"/>
        <charset val="136"/>
      </rPr>
      <t>多媒體應用學程</t>
    </r>
    <phoneticPr fontId="2" type="noConversion"/>
  </si>
  <si>
    <t>智慧型系統概論</t>
    <phoneticPr fontId="2" type="noConversion"/>
  </si>
  <si>
    <t>行動裝置應用學程</t>
    <phoneticPr fontId="2" type="noConversion"/>
  </si>
  <si>
    <t>人機介面</t>
    <phoneticPr fontId="2" type="noConversion"/>
  </si>
  <si>
    <r>
      <rPr>
        <sz val="9"/>
        <rFont val="新細明體"/>
        <family val="1"/>
        <charset val="136"/>
      </rPr>
      <t>行動裝置應用學程</t>
    </r>
    <phoneticPr fontId="2" type="noConversion"/>
  </si>
  <si>
    <t>密碼元件模組實務</t>
    <phoneticPr fontId="2" type="noConversion"/>
  </si>
  <si>
    <r>
      <rPr>
        <sz val="9"/>
        <rFont val="新細明體"/>
        <family val="1"/>
        <charset val="136"/>
      </rPr>
      <t>專業選修</t>
    </r>
    <phoneticPr fontId="2" type="noConversion"/>
  </si>
  <si>
    <r>
      <rPr>
        <sz val="9"/>
        <rFont val="新細明體"/>
        <family val="1"/>
        <charset val="136"/>
      </rPr>
      <t>職場與就業倫理</t>
    </r>
    <phoneticPr fontId="2" type="noConversion"/>
  </si>
  <si>
    <t>科技、倫理與社會</t>
    <phoneticPr fontId="2" type="noConversion"/>
  </si>
  <si>
    <t>十七、實施方式依南臺科技大學資訊工程系校外實習輔導實施要點為之；學生若取得暑期或學期或學年校外實習選修學分，可免修「校外實習」必修課程。</t>
    <phoneticPr fontId="2" type="noConversion"/>
  </si>
  <si>
    <t>響應式網頁設計</t>
    <phoneticPr fontId="2" type="noConversion"/>
  </si>
  <si>
    <r>
      <rPr>
        <sz val="9"/>
        <rFont val="細明體"/>
        <family val="3"/>
        <charset val="136"/>
      </rPr>
      <t>四、本系三項學程「多媒體應用學程」、「行動裝置應用學程」、「</t>
    </r>
    <r>
      <rPr>
        <sz val="9"/>
        <color indexed="10"/>
        <rFont val="細明體"/>
        <family val="3"/>
        <charset val="136"/>
      </rPr>
      <t>雲端網路應用學程</t>
    </r>
    <r>
      <rPr>
        <sz val="9"/>
        <rFont val="細明體"/>
        <family val="3"/>
        <charset val="136"/>
      </rPr>
      <t>」，學生可擇任一學程並修畢至少</t>
    </r>
    <r>
      <rPr>
        <sz val="9"/>
        <rFont val="Times New Roman"/>
        <family val="1"/>
      </rPr>
      <t>21</t>
    </r>
    <r>
      <rPr>
        <sz val="9"/>
        <rFont val="細明體"/>
        <family val="3"/>
        <charset val="136"/>
      </rPr>
      <t>學分才能視為取得此學程。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</si>
</sst>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0"/>
      <name val="新細明體"/>
      <family val="1"/>
      <charset val="136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新細明體"/>
      <family val="1"/>
      <charset val="136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新細明體"/>
      <family val="1"/>
      <charset val="136"/>
    </font>
    <font>
      <sz val="9"/>
      <name val="細明體"/>
      <family val="3"/>
      <charset val="136"/>
    </font>
    <font>
      <strike/>
      <sz val="9"/>
      <name val="新細明體"/>
      <family val="1"/>
      <charset val="136"/>
    </font>
    <font>
      <sz val="9"/>
      <color indexed="10"/>
      <name val="細明體"/>
      <family val="3"/>
      <charset val="136"/>
    </font>
    <font>
      <b/>
      <sz val="9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color rgb="FFFF0000"/>
      <name val="新細明體"/>
      <family val="1"/>
      <charset val="136"/>
    </font>
    <font>
      <sz val="9"/>
      <color rgb="FFFF0000"/>
      <name val="細明體"/>
      <family val="3"/>
      <charset val="136"/>
    </font>
    <font>
      <sz val="9"/>
      <color rgb="FFFF0000"/>
      <name val="Times New Roman"/>
      <family val="1"/>
    </font>
    <font>
      <sz val="9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81">
    <xf numFmtId="0" fontId="0" fillId="0" borderId="0" xfId="0">
      <alignment vertical="center"/>
    </xf>
    <xf numFmtId="0" fontId="1" fillId="0" borderId="0" xfId="3"/>
    <xf numFmtId="0" fontId="5" fillId="0" borderId="0" xfId="0" applyFont="1" applyFill="1">
      <alignment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3" xfId="3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5" fillId="0" borderId="8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1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vertical="center" wrapText="1"/>
    </xf>
    <xf numFmtId="0" fontId="8" fillId="0" borderId="9" xfId="3" applyFont="1" applyFill="1" applyBorder="1" applyAlignment="1">
      <alignment horizontal="center" vertical="center" wrapText="1"/>
    </xf>
    <xf numFmtId="0" fontId="8" fillId="0" borderId="9" xfId="3" applyFont="1" applyFill="1" applyBorder="1" applyAlignment="1">
      <alignment horizontal="left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3" applyFont="1" applyFill="1" applyBorder="1" applyAlignment="1">
      <alignment horizontal="left" vertical="center" wrapText="1"/>
    </xf>
    <xf numFmtId="0" fontId="8" fillId="0" borderId="12" xfId="3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3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9" xfId="0" applyFont="1" applyFill="1" applyBorder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vertical="center" wrapText="1"/>
    </xf>
    <xf numFmtId="0" fontId="2" fillId="0" borderId="11" xfId="4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 wrapText="1"/>
    </xf>
    <xf numFmtId="0" fontId="2" fillId="0" borderId="0" xfId="4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horizontal="left" vertical="center" wrapText="1"/>
    </xf>
    <xf numFmtId="0" fontId="2" fillId="0" borderId="0" xfId="2" applyFont="1" applyFill="1">
      <alignment vertical="center"/>
    </xf>
    <xf numFmtId="0" fontId="2" fillId="0" borderId="0" xfId="0" applyFo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9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left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11" xfId="5" applyFont="1" applyFill="1" applyBorder="1" applyAlignment="1">
      <alignment vertical="center" wrapText="1"/>
    </xf>
    <xf numFmtId="0" fontId="11" fillId="0" borderId="12" xfId="3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2" fillId="0" borderId="9" xfId="3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vertical="center" wrapText="1"/>
    </xf>
    <xf numFmtId="0" fontId="2" fillId="0" borderId="12" xfId="4" applyFont="1" applyFill="1" applyBorder="1" applyAlignment="1">
      <alignment horizontal="center" vertical="center" wrapText="1"/>
    </xf>
    <xf numFmtId="0" fontId="2" fillId="0" borderId="1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2" fillId="0" borderId="3" xfId="3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8" fillId="0" borderId="10" xfId="3" applyFont="1" applyFill="1" applyBorder="1" applyAlignment="1">
      <alignment horizontal="left" vertical="center" wrapText="1"/>
    </xf>
    <xf numFmtId="0" fontId="8" fillId="0" borderId="10" xfId="3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vertical="center" wrapText="1"/>
    </xf>
    <xf numFmtId="0" fontId="2" fillId="0" borderId="14" xfId="4" applyFont="1" applyFill="1" applyBorder="1" applyAlignment="1">
      <alignment horizontal="center" vertical="center" wrapText="1"/>
    </xf>
    <xf numFmtId="0" fontId="2" fillId="0" borderId="14" xfId="2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1" xfId="3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vertical="center" shrinkToFit="1"/>
    </xf>
    <xf numFmtId="0" fontId="15" fillId="0" borderId="12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15" fillId="0" borderId="3" xfId="2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2" xfId="3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 wrapText="1"/>
    </xf>
    <xf numFmtId="0" fontId="8" fillId="0" borderId="11" xfId="5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" fillId="0" borderId="0" xfId="2" applyFont="1" applyFill="1" applyAlignment="1">
      <alignment horizontal="left" vertical="center" wrapText="1"/>
    </xf>
  </cellXfs>
  <cellStyles count="6">
    <cellStyle name="一般" xfId="0" builtinId="0"/>
    <cellStyle name="一般_98四技-系統" xfId="1"/>
    <cellStyle name="一般_98-四技-電子系(晶片設計組)" xfId="2"/>
    <cellStyle name="一般_Sheet1" xfId="3"/>
    <cellStyle name="一般_電子晶片94-二技" xfId="4"/>
    <cellStyle name="一般_電子晶片94-四技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23"/>
  <sheetViews>
    <sheetView tabSelected="1" topLeftCell="A84" zoomScale="110" zoomScaleNormal="110" workbookViewId="0">
      <selection activeCell="A99" sqref="A99:J99"/>
    </sheetView>
  </sheetViews>
  <sheetFormatPr defaultRowHeight="14.25" customHeight="1" x14ac:dyDescent="0.25"/>
  <cols>
    <col min="1" max="1" width="14.125" style="15" customWidth="1"/>
    <col min="2" max="2" width="20" style="87" customWidth="1"/>
    <col min="3" max="3" width="4.25" style="29" customWidth="1"/>
    <col min="4" max="4" width="4.125" style="29" customWidth="1"/>
    <col min="5" max="5" width="7.625" style="30" customWidth="1"/>
    <col min="6" max="6" width="14.125" style="29" customWidth="1"/>
    <col min="7" max="7" width="21.375" style="87" customWidth="1"/>
    <col min="8" max="8" width="4.375" style="29" customWidth="1"/>
    <col min="9" max="9" width="4.125" style="29" customWidth="1"/>
    <col min="10" max="10" width="7" style="30" customWidth="1"/>
    <col min="11" max="16384" width="9" style="30"/>
  </cols>
  <sheetData>
    <row r="1" spans="1:10" ht="12.75" customHeight="1" thickBot="1" x14ac:dyDescent="0.3">
      <c r="A1" s="139" t="s">
        <v>149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2.75" customHeight="1" x14ac:dyDescent="0.25">
      <c r="A2" s="140" t="s">
        <v>49</v>
      </c>
      <c r="B2" s="141"/>
      <c r="C2" s="141"/>
      <c r="D2" s="141"/>
      <c r="E2" s="141"/>
      <c r="F2" s="141"/>
      <c r="G2" s="141"/>
      <c r="H2" s="141"/>
      <c r="I2" s="141"/>
      <c r="J2" s="142"/>
    </row>
    <row r="3" spans="1:10" ht="12.75" customHeight="1" thickBot="1" x14ac:dyDescent="0.3">
      <c r="A3" s="143" t="s">
        <v>50</v>
      </c>
      <c r="B3" s="144"/>
      <c r="C3" s="144"/>
      <c r="D3" s="144"/>
      <c r="E3" s="144"/>
      <c r="F3" s="145" t="s">
        <v>51</v>
      </c>
      <c r="G3" s="144"/>
      <c r="H3" s="144"/>
      <c r="I3" s="144"/>
      <c r="J3" s="146"/>
    </row>
    <row r="4" spans="1:10" ht="12.75" customHeight="1" x14ac:dyDescent="0.25">
      <c r="A4" s="108" t="s">
        <v>32</v>
      </c>
      <c r="B4" s="31" t="s">
        <v>52</v>
      </c>
      <c r="C4" s="16" t="s">
        <v>53</v>
      </c>
      <c r="D4" s="16" t="s">
        <v>54</v>
      </c>
      <c r="E4" s="16" t="s">
        <v>55</v>
      </c>
      <c r="F4" s="16" t="s">
        <v>38</v>
      </c>
      <c r="G4" s="31" t="s">
        <v>52</v>
      </c>
      <c r="H4" s="16" t="s">
        <v>53</v>
      </c>
      <c r="I4" s="16" t="s">
        <v>54</v>
      </c>
      <c r="J4" s="32" t="s">
        <v>55</v>
      </c>
    </row>
    <row r="5" spans="1:10" ht="12.75" customHeight="1" x14ac:dyDescent="0.25">
      <c r="A5" s="105" t="s">
        <v>26</v>
      </c>
      <c r="B5" s="33" t="s">
        <v>56</v>
      </c>
      <c r="C5" s="17">
        <v>2</v>
      </c>
      <c r="D5" s="17">
        <v>2</v>
      </c>
      <c r="E5" s="17"/>
      <c r="F5" s="17" t="s">
        <v>39</v>
      </c>
      <c r="G5" s="33" t="s">
        <v>57</v>
      </c>
      <c r="H5" s="17">
        <v>2</v>
      </c>
      <c r="I5" s="17">
        <v>2</v>
      </c>
      <c r="J5" s="34"/>
    </row>
    <row r="6" spans="1:10" ht="12.75" customHeight="1" x14ac:dyDescent="0.25">
      <c r="A6" s="105" t="s">
        <v>26</v>
      </c>
      <c r="B6" s="67" t="s">
        <v>136</v>
      </c>
      <c r="C6" s="17">
        <v>2</v>
      </c>
      <c r="D6" s="17">
        <v>2</v>
      </c>
      <c r="E6" s="17"/>
      <c r="F6" s="17" t="s">
        <v>39</v>
      </c>
      <c r="G6" s="67" t="s">
        <v>137</v>
      </c>
      <c r="H6" s="17">
        <v>2</v>
      </c>
      <c r="I6" s="17">
        <v>2</v>
      </c>
      <c r="J6" s="34"/>
    </row>
    <row r="7" spans="1:10" ht="12.75" customHeight="1" x14ac:dyDescent="0.25">
      <c r="A7" s="105" t="s">
        <v>26</v>
      </c>
      <c r="B7" s="33" t="s">
        <v>58</v>
      </c>
      <c r="C7" s="17">
        <v>1</v>
      </c>
      <c r="D7" s="17">
        <v>2</v>
      </c>
      <c r="E7" s="17"/>
      <c r="F7" s="17" t="s">
        <v>39</v>
      </c>
      <c r="G7" s="33" t="s">
        <v>59</v>
      </c>
      <c r="H7" s="17">
        <v>1</v>
      </c>
      <c r="I7" s="17">
        <v>2</v>
      </c>
      <c r="J7" s="34"/>
    </row>
    <row r="8" spans="1:10" ht="12.75" customHeight="1" x14ac:dyDescent="0.25">
      <c r="A8" s="105" t="s">
        <v>26</v>
      </c>
      <c r="B8" s="67" t="s">
        <v>138</v>
      </c>
      <c r="C8" s="17">
        <v>1</v>
      </c>
      <c r="D8" s="17">
        <v>3</v>
      </c>
      <c r="E8" s="17"/>
      <c r="F8" s="17" t="s">
        <v>39</v>
      </c>
      <c r="G8" s="67" t="s">
        <v>139</v>
      </c>
      <c r="H8" s="17">
        <v>1</v>
      </c>
      <c r="I8" s="17">
        <v>3</v>
      </c>
      <c r="J8" s="34"/>
    </row>
    <row r="9" spans="1:10" ht="12.75" customHeight="1" x14ac:dyDescent="0.25">
      <c r="A9" s="105" t="s">
        <v>26</v>
      </c>
      <c r="B9" s="35" t="s">
        <v>60</v>
      </c>
      <c r="C9" s="17">
        <v>2</v>
      </c>
      <c r="D9" s="17">
        <v>2</v>
      </c>
      <c r="E9" s="17"/>
      <c r="F9" s="17" t="s">
        <v>39</v>
      </c>
      <c r="G9" s="35" t="s">
        <v>60</v>
      </c>
      <c r="H9" s="17">
        <v>2</v>
      </c>
      <c r="I9" s="17">
        <v>2</v>
      </c>
      <c r="J9" s="34"/>
    </row>
    <row r="10" spans="1:10" ht="12.75" customHeight="1" x14ac:dyDescent="0.25">
      <c r="A10" s="105" t="s">
        <v>26</v>
      </c>
      <c r="B10" s="33" t="s">
        <v>140</v>
      </c>
      <c r="C10" s="20">
        <v>0</v>
      </c>
      <c r="D10" s="20">
        <v>0</v>
      </c>
      <c r="E10" s="18"/>
      <c r="F10" s="18"/>
      <c r="G10" s="33"/>
      <c r="H10" s="18"/>
      <c r="I10" s="18"/>
      <c r="J10" s="36"/>
    </row>
    <row r="11" spans="1:10" ht="12.75" customHeight="1" thickBot="1" x14ac:dyDescent="0.3">
      <c r="A11" s="8" t="s">
        <v>26</v>
      </c>
      <c r="B11" s="37" t="s">
        <v>61</v>
      </c>
      <c r="C11" s="19">
        <f>SUM(C5:C9)</f>
        <v>8</v>
      </c>
      <c r="D11" s="19">
        <f>SUM(D5:D9)</f>
        <v>11</v>
      </c>
      <c r="E11" s="19"/>
      <c r="F11" s="19" t="s">
        <v>40</v>
      </c>
      <c r="G11" s="37" t="s">
        <v>61</v>
      </c>
      <c r="H11" s="19">
        <f>SUM(H5:H9)</f>
        <v>8</v>
      </c>
      <c r="I11" s="19">
        <f>SUM(I5:I9)</f>
        <v>11</v>
      </c>
      <c r="J11" s="38"/>
    </row>
    <row r="12" spans="1:10" ht="12.75" customHeight="1" x14ac:dyDescent="0.25">
      <c r="A12" s="108" t="s">
        <v>33</v>
      </c>
      <c r="B12" s="31" t="s">
        <v>62</v>
      </c>
      <c r="C12" s="16">
        <v>3</v>
      </c>
      <c r="D12" s="16">
        <v>3</v>
      </c>
      <c r="E12" s="16"/>
      <c r="F12" s="16" t="s">
        <v>41</v>
      </c>
      <c r="G12" s="31" t="s">
        <v>63</v>
      </c>
      <c r="H12" s="16">
        <v>3</v>
      </c>
      <c r="I12" s="16">
        <v>3</v>
      </c>
      <c r="J12" s="32"/>
    </row>
    <row r="13" spans="1:10" ht="12.75" customHeight="1" x14ac:dyDescent="0.25">
      <c r="A13" s="104" t="s">
        <v>33</v>
      </c>
      <c r="B13" s="33" t="s">
        <v>64</v>
      </c>
      <c r="C13" s="17">
        <v>3</v>
      </c>
      <c r="D13" s="17">
        <v>3</v>
      </c>
      <c r="E13" s="17"/>
      <c r="F13" s="20" t="s">
        <v>41</v>
      </c>
      <c r="G13" s="39" t="s">
        <v>65</v>
      </c>
      <c r="H13" s="20">
        <v>2</v>
      </c>
      <c r="I13" s="20">
        <v>2</v>
      </c>
      <c r="J13" s="34"/>
    </row>
    <row r="14" spans="1:10" ht="12.75" customHeight="1" x14ac:dyDescent="0.25">
      <c r="A14" s="104" t="s">
        <v>33</v>
      </c>
      <c r="B14" s="33" t="s">
        <v>66</v>
      </c>
      <c r="C14" s="17">
        <v>2</v>
      </c>
      <c r="D14" s="17">
        <v>3</v>
      </c>
      <c r="E14" s="17"/>
      <c r="F14" s="20" t="s">
        <v>41</v>
      </c>
      <c r="G14" s="33"/>
      <c r="H14" s="17"/>
      <c r="I14" s="17"/>
      <c r="J14" s="34"/>
    </row>
    <row r="15" spans="1:10" ht="12.75" customHeight="1" thickBot="1" x14ac:dyDescent="0.3">
      <c r="A15" s="8" t="s">
        <v>33</v>
      </c>
      <c r="B15" s="37" t="s">
        <v>61</v>
      </c>
      <c r="C15" s="19">
        <f>SUM(C12:C14)</f>
        <v>8</v>
      </c>
      <c r="D15" s="19">
        <f>SUM(D12:D14)</f>
        <v>9</v>
      </c>
      <c r="E15" s="19"/>
      <c r="F15" s="19" t="s">
        <v>42</v>
      </c>
      <c r="G15" s="37" t="s">
        <v>61</v>
      </c>
      <c r="H15" s="19">
        <f>SUM(H12:H14)</f>
        <v>5</v>
      </c>
      <c r="I15" s="19">
        <f>SUM(I12:I14)</f>
        <v>5</v>
      </c>
      <c r="J15" s="38"/>
    </row>
    <row r="16" spans="1:10" ht="12.75" customHeight="1" x14ac:dyDescent="0.25">
      <c r="A16" s="108" t="s">
        <v>34</v>
      </c>
      <c r="B16" s="39" t="s">
        <v>67</v>
      </c>
      <c r="C16" s="20">
        <v>2</v>
      </c>
      <c r="D16" s="20">
        <v>3</v>
      </c>
      <c r="E16" s="16"/>
      <c r="F16" s="16" t="s">
        <v>43</v>
      </c>
      <c r="G16" s="31" t="s">
        <v>68</v>
      </c>
      <c r="H16" s="16">
        <v>3</v>
      </c>
      <c r="I16" s="16">
        <v>3</v>
      </c>
      <c r="J16" s="32"/>
    </row>
    <row r="17" spans="1:10" ht="12.75" customHeight="1" x14ac:dyDescent="0.25">
      <c r="A17" s="104" t="s">
        <v>34</v>
      </c>
      <c r="B17" s="33" t="s">
        <v>69</v>
      </c>
      <c r="C17" s="17">
        <v>3</v>
      </c>
      <c r="D17" s="17">
        <v>3</v>
      </c>
      <c r="E17" s="20"/>
      <c r="F17" s="20" t="s">
        <v>43</v>
      </c>
      <c r="G17" s="33" t="s">
        <v>70</v>
      </c>
      <c r="H17" s="17">
        <v>3</v>
      </c>
      <c r="I17" s="17">
        <v>3</v>
      </c>
      <c r="J17" s="34"/>
    </row>
    <row r="18" spans="1:10" ht="12.75" customHeight="1" thickBot="1" x14ac:dyDescent="0.3">
      <c r="A18" s="8" t="s">
        <v>34</v>
      </c>
      <c r="B18" s="37" t="s">
        <v>61</v>
      </c>
      <c r="C18" s="19">
        <f>SUM(C16:C17)</f>
        <v>5</v>
      </c>
      <c r="D18" s="19">
        <f>SUM(D16:D17)</f>
        <v>6</v>
      </c>
      <c r="E18" s="19"/>
      <c r="F18" s="19" t="s">
        <v>44</v>
      </c>
      <c r="G18" s="37" t="s">
        <v>61</v>
      </c>
      <c r="H18" s="19">
        <f>SUM(H16:H17)</f>
        <v>6</v>
      </c>
      <c r="I18" s="19">
        <f>SUM(I16:I17)</f>
        <v>6</v>
      </c>
      <c r="J18" s="38"/>
    </row>
    <row r="19" spans="1:10" ht="12.75" customHeight="1" x14ac:dyDescent="0.25">
      <c r="A19" s="108" t="s">
        <v>3</v>
      </c>
      <c r="B19" s="41" t="s">
        <v>2</v>
      </c>
      <c r="C19" s="42">
        <v>3</v>
      </c>
      <c r="D19" s="42">
        <v>3</v>
      </c>
      <c r="E19" s="16"/>
      <c r="F19" s="16" t="s">
        <v>45</v>
      </c>
      <c r="G19" s="43" t="s">
        <v>71</v>
      </c>
      <c r="H19" s="42">
        <v>3</v>
      </c>
      <c r="I19" s="42">
        <v>3</v>
      </c>
      <c r="J19" s="32"/>
    </row>
    <row r="20" spans="1:10" ht="12.75" customHeight="1" x14ac:dyDescent="0.25">
      <c r="A20" s="104" t="s">
        <v>3</v>
      </c>
      <c r="B20" s="33" t="s">
        <v>72</v>
      </c>
      <c r="C20" s="44">
        <v>3</v>
      </c>
      <c r="D20" s="44">
        <v>3</v>
      </c>
      <c r="E20" s="17"/>
      <c r="F20" s="20" t="s">
        <v>45</v>
      </c>
      <c r="G20" s="6" t="s">
        <v>73</v>
      </c>
      <c r="H20" s="44">
        <v>3</v>
      </c>
      <c r="I20" s="44">
        <v>3</v>
      </c>
      <c r="J20" s="34"/>
    </row>
    <row r="21" spans="1:10" ht="12.75" customHeight="1" thickBot="1" x14ac:dyDescent="0.3">
      <c r="A21" s="106"/>
      <c r="B21" s="45"/>
      <c r="C21" s="22"/>
      <c r="D21" s="22"/>
      <c r="E21" s="46"/>
      <c r="F21" s="21" t="s">
        <v>45</v>
      </c>
      <c r="G21" s="45" t="s">
        <v>74</v>
      </c>
      <c r="H21" s="22">
        <v>3</v>
      </c>
      <c r="I21" s="22">
        <v>3</v>
      </c>
      <c r="J21" s="47"/>
    </row>
    <row r="22" spans="1:10" ht="12.75" customHeight="1" x14ac:dyDescent="0.25">
      <c r="A22" s="147" t="s">
        <v>75</v>
      </c>
      <c r="B22" s="148"/>
      <c r="C22" s="148"/>
      <c r="D22" s="148"/>
      <c r="E22" s="148"/>
      <c r="F22" s="148"/>
      <c r="G22" s="148"/>
      <c r="H22" s="148"/>
      <c r="I22" s="148"/>
      <c r="J22" s="149"/>
    </row>
    <row r="23" spans="1:10" ht="12.75" customHeight="1" thickBot="1" x14ac:dyDescent="0.3">
      <c r="A23" s="143" t="s">
        <v>50</v>
      </c>
      <c r="B23" s="144"/>
      <c r="C23" s="144"/>
      <c r="D23" s="144"/>
      <c r="E23" s="144"/>
      <c r="F23" s="145" t="s">
        <v>51</v>
      </c>
      <c r="G23" s="144"/>
      <c r="H23" s="144"/>
      <c r="I23" s="144"/>
      <c r="J23" s="146"/>
    </row>
    <row r="24" spans="1:10" ht="12.75" customHeight="1" x14ac:dyDescent="0.25">
      <c r="A24" s="108" t="s">
        <v>32</v>
      </c>
      <c r="B24" s="31" t="s">
        <v>52</v>
      </c>
      <c r="C24" s="16" t="s">
        <v>53</v>
      </c>
      <c r="D24" s="16" t="s">
        <v>54</v>
      </c>
      <c r="E24" s="16" t="s">
        <v>55</v>
      </c>
      <c r="F24" s="16" t="s">
        <v>38</v>
      </c>
      <c r="G24" s="31" t="s">
        <v>52</v>
      </c>
      <c r="H24" s="16" t="s">
        <v>53</v>
      </c>
      <c r="I24" s="16" t="s">
        <v>54</v>
      </c>
      <c r="J24" s="32" t="s">
        <v>55</v>
      </c>
    </row>
    <row r="25" spans="1:10" ht="12.75" customHeight="1" x14ac:dyDescent="0.25">
      <c r="A25" s="105" t="s">
        <v>26</v>
      </c>
      <c r="B25" s="67" t="s">
        <v>141</v>
      </c>
      <c r="C25" s="17">
        <v>2</v>
      </c>
      <c r="D25" s="17">
        <v>2</v>
      </c>
      <c r="E25" s="17"/>
      <c r="F25" s="17" t="s">
        <v>39</v>
      </c>
      <c r="G25" s="67" t="s">
        <v>142</v>
      </c>
      <c r="H25" s="17">
        <v>2</v>
      </c>
      <c r="I25" s="17">
        <v>2</v>
      </c>
      <c r="J25" s="34"/>
    </row>
    <row r="26" spans="1:10" ht="12.75" customHeight="1" x14ac:dyDescent="0.25">
      <c r="A26" s="105" t="s">
        <v>26</v>
      </c>
      <c r="B26" s="33" t="s">
        <v>76</v>
      </c>
      <c r="C26" s="17">
        <v>1</v>
      </c>
      <c r="D26" s="17">
        <v>2</v>
      </c>
      <c r="E26" s="17"/>
      <c r="F26" s="17" t="s">
        <v>39</v>
      </c>
      <c r="G26" s="33" t="s">
        <v>77</v>
      </c>
      <c r="H26" s="17">
        <v>1</v>
      </c>
      <c r="I26" s="17">
        <v>2</v>
      </c>
      <c r="J26" s="34"/>
    </row>
    <row r="27" spans="1:10" ht="12.75" customHeight="1" x14ac:dyDescent="0.25">
      <c r="A27" s="105" t="s">
        <v>26</v>
      </c>
      <c r="B27" s="35" t="s">
        <v>60</v>
      </c>
      <c r="C27" s="17">
        <v>2</v>
      </c>
      <c r="D27" s="17">
        <v>2</v>
      </c>
      <c r="E27" s="18"/>
      <c r="F27" s="17" t="s">
        <v>39</v>
      </c>
      <c r="G27" s="33" t="s">
        <v>78</v>
      </c>
      <c r="H27" s="17">
        <v>2</v>
      </c>
      <c r="I27" s="17">
        <v>2</v>
      </c>
      <c r="J27" s="34"/>
    </row>
    <row r="28" spans="1:10" ht="12.75" customHeight="1" x14ac:dyDescent="0.25">
      <c r="A28" s="107"/>
      <c r="B28" s="48"/>
      <c r="C28" s="18"/>
      <c r="D28" s="18"/>
      <c r="E28" s="18"/>
      <c r="F28" s="17" t="s">
        <v>39</v>
      </c>
      <c r="G28" s="33" t="s">
        <v>60</v>
      </c>
      <c r="H28" s="17">
        <v>2</v>
      </c>
      <c r="I28" s="17">
        <v>2</v>
      </c>
      <c r="J28" s="34"/>
    </row>
    <row r="29" spans="1:10" ht="12.75" customHeight="1" thickBot="1" x14ac:dyDescent="0.3">
      <c r="A29" s="8" t="s">
        <v>26</v>
      </c>
      <c r="B29" s="37" t="s">
        <v>61</v>
      </c>
      <c r="C29" s="19">
        <f>SUM(C25:C28)</f>
        <v>5</v>
      </c>
      <c r="D29" s="19">
        <f>SUM(D25:D28)</f>
        <v>6</v>
      </c>
      <c r="E29" s="19"/>
      <c r="F29" s="19" t="s">
        <v>40</v>
      </c>
      <c r="G29" s="37" t="s">
        <v>61</v>
      </c>
      <c r="H29" s="19">
        <f>SUM(H25:H28)</f>
        <v>7</v>
      </c>
      <c r="I29" s="19">
        <f>SUM(I25:I28)</f>
        <v>8</v>
      </c>
      <c r="J29" s="38"/>
    </row>
    <row r="30" spans="1:10" ht="12.75" customHeight="1" x14ac:dyDescent="0.2">
      <c r="A30" s="104" t="s">
        <v>33</v>
      </c>
      <c r="B30" s="49" t="s">
        <v>9</v>
      </c>
      <c r="C30" s="17">
        <v>2</v>
      </c>
      <c r="D30" s="17">
        <v>2</v>
      </c>
      <c r="E30" s="17"/>
      <c r="F30" s="20" t="s">
        <v>41</v>
      </c>
      <c r="G30" s="40"/>
      <c r="H30" s="17"/>
      <c r="I30" s="17"/>
      <c r="J30" s="34"/>
    </row>
    <row r="31" spans="1:10" ht="12.75" customHeight="1" thickBot="1" x14ac:dyDescent="0.3">
      <c r="A31" s="8" t="s">
        <v>33</v>
      </c>
      <c r="B31" s="37" t="s">
        <v>61</v>
      </c>
      <c r="C31" s="19">
        <f>SUM(C30:C30)</f>
        <v>2</v>
      </c>
      <c r="D31" s="19">
        <f>SUM(D30:D30)</f>
        <v>2</v>
      </c>
      <c r="E31" s="19"/>
      <c r="F31" s="19" t="s">
        <v>42</v>
      </c>
      <c r="G31" s="37" t="s">
        <v>61</v>
      </c>
      <c r="H31" s="19">
        <f>SUM(H30:H30)</f>
        <v>0</v>
      </c>
      <c r="I31" s="19">
        <f>SUM(I30:I30)</f>
        <v>0</v>
      </c>
      <c r="J31" s="38"/>
    </row>
    <row r="32" spans="1:10" ht="12.75" customHeight="1" x14ac:dyDescent="0.25">
      <c r="A32" s="108" t="s">
        <v>34</v>
      </c>
      <c r="B32" s="31" t="s">
        <v>79</v>
      </c>
      <c r="C32" s="16">
        <v>3</v>
      </c>
      <c r="D32" s="44">
        <v>3</v>
      </c>
      <c r="E32" s="16"/>
      <c r="F32" s="16" t="s">
        <v>43</v>
      </c>
      <c r="G32" s="31" t="s">
        <v>80</v>
      </c>
      <c r="H32" s="16">
        <v>3</v>
      </c>
      <c r="I32" s="16">
        <v>3</v>
      </c>
      <c r="J32" s="32"/>
    </row>
    <row r="33" spans="1:10" ht="12.75" customHeight="1" x14ac:dyDescent="0.25">
      <c r="A33" s="104" t="s">
        <v>34</v>
      </c>
      <c r="B33" s="33" t="s">
        <v>81</v>
      </c>
      <c r="C33" s="44">
        <v>3</v>
      </c>
      <c r="D33" s="44">
        <v>3</v>
      </c>
      <c r="E33" s="17"/>
      <c r="F33" s="20" t="s">
        <v>43</v>
      </c>
      <c r="G33" s="33" t="s">
        <v>82</v>
      </c>
      <c r="H33" s="44">
        <v>3</v>
      </c>
      <c r="I33" s="44">
        <v>3</v>
      </c>
      <c r="J33" s="34"/>
    </row>
    <row r="34" spans="1:10" ht="12.75" customHeight="1" x14ac:dyDescent="0.25">
      <c r="A34" s="104" t="s">
        <v>34</v>
      </c>
      <c r="B34" s="33" t="s">
        <v>83</v>
      </c>
      <c r="C34" s="44">
        <v>3</v>
      </c>
      <c r="D34" s="44">
        <v>3</v>
      </c>
      <c r="E34" s="17"/>
      <c r="F34" s="20" t="s">
        <v>43</v>
      </c>
      <c r="G34" s="33" t="s">
        <v>84</v>
      </c>
      <c r="H34" s="44">
        <v>3</v>
      </c>
      <c r="I34" s="44">
        <v>3</v>
      </c>
      <c r="J34" s="34"/>
    </row>
    <row r="35" spans="1:10" ht="12.75" customHeight="1" x14ac:dyDescent="0.2">
      <c r="A35" s="104" t="s">
        <v>34</v>
      </c>
      <c r="B35" s="33" t="s">
        <v>85</v>
      </c>
      <c r="C35" s="44">
        <v>3</v>
      </c>
      <c r="D35" s="44">
        <v>3</v>
      </c>
      <c r="E35" s="17"/>
      <c r="F35" s="20" t="s">
        <v>43</v>
      </c>
      <c r="G35" s="40"/>
      <c r="H35" s="17"/>
      <c r="I35" s="17"/>
      <c r="J35" s="34"/>
    </row>
    <row r="36" spans="1:10" ht="12.75" customHeight="1" thickBot="1" x14ac:dyDescent="0.3">
      <c r="A36" s="8" t="s">
        <v>34</v>
      </c>
      <c r="B36" s="37" t="s">
        <v>61</v>
      </c>
      <c r="C36" s="19">
        <f>SUM(C32:C35)</f>
        <v>12</v>
      </c>
      <c r="D36" s="19">
        <f>SUM(D32:D35)</f>
        <v>12</v>
      </c>
      <c r="E36" s="19"/>
      <c r="F36" s="19" t="s">
        <v>44</v>
      </c>
      <c r="G36" s="37" t="s">
        <v>61</v>
      </c>
      <c r="H36" s="19">
        <f>SUM(H32:H35)</f>
        <v>9</v>
      </c>
      <c r="I36" s="19">
        <f>SUM(I32:I35)</f>
        <v>9</v>
      </c>
      <c r="J36" s="38"/>
    </row>
    <row r="37" spans="1:10" ht="12.75" customHeight="1" x14ac:dyDescent="0.25">
      <c r="A37" s="108" t="s">
        <v>3</v>
      </c>
      <c r="B37" s="31" t="s">
        <v>86</v>
      </c>
      <c r="C37" s="42">
        <v>3</v>
      </c>
      <c r="D37" s="42">
        <v>3</v>
      </c>
      <c r="E37" s="16"/>
      <c r="F37" s="16" t="s">
        <v>45</v>
      </c>
      <c r="G37" s="31" t="s">
        <v>87</v>
      </c>
      <c r="H37" s="42">
        <v>3</v>
      </c>
      <c r="I37" s="42">
        <v>3</v>
      </c>
      <c r="J37" s="32"/>
    </row>
    <row r="38" spans="1:10" ht="12.75" customHeight="1" x14ac:dyDescent="0.25">
      <c r="A38" s="104" t="s">
        <v>3</v>
      </c>
      <c r="B38" s="33" t="s">
        <v>88</v>
      </c>
      <c r="C38" s="44">
        <v>3</v>
      </c>
      <c r="D38" s="44">
        <v>3</v>
      </c>
      <c r="E38" s="17"/>
      <c r="F38" s="20" t="s">
        <v>45</v>
      </c>
      <c r="G38" s="33" t="s">
        <v>89</v>
      </c>
      <c r="H38" s="17">
        <v>3</v>
      </c>
      <c r="I38" s="17">
        <v>3</v>
      </c>
      <c r="J38" s="34"/>
    </row>
    <row r="39" spans="1:10" ht="12.75" customHeight="1" thickBot="1" x14ac:dyDescent="0.3">
      <c r="A39" s="106" t="s">
        <v>3</v>
      </c>
      <c r="B39" s="45" t="s">
        <v>90</v>
      </c>
      <c r="C39" s="22">
        <v>3</v>
      </c>
      <c r="D39" s="22">
        <v>3</v>
      </c>
      <c r="E39" s="46"/>
      <c r="F39" s="22" t="s">
        <v>45</v>
      </c>
      <c r="G39" s="45" t="s">
        <v>91</v>
      </c>
      <c r="H39" s="22">
        <v>3</v>
      </c>
      <c r="I39" s="22">
        <v>3</v>
      </c>
      <c r="J39" s="47"/>
    </row>
    <row r="40" spans="1:10" ht="12.75" customHeight="1" x14ac:dyDescent="0.25">
      <c r="A40" s="147" t="s">
        <v>92</v>
      </c>
      <c r="B40" s="148"/>
      <c r="C40" s="148"/>
      <c r="D40" s="148"/>
      <c r="E40" s="148"/>
      <c r="F40" s="148"/>
      <c r="G40" s="148"/>
      <c r="H40" s="148"/>
      <c r="I40" s="148"/>
      <c r="J40" s="149"/>
    </row>
    <row r="41" spans="1:10" ht="12.75" customHeight="1" thickBot="1" x14ac:dyDescent="0.3">
      <c r="A41" s="143" t="s">
        <v>50</v>
      </c>
      <c r="B41" s="144"/>
      <c r="C41" s="144"/>
      <c r="D41" s="144"/>
      <c r="E41" s="144"/>
      <c r="F41" s="145" t="s">
        <v>51</v>
      </c>
      <c r="G41" s="144"/>
      <c r="H41" s="144"/>
      <c r="I41" s="144"/>
      <c r="J41" s="146"/>
    </row>
    <row r="42" spans="1:10" ht="12.75" customHeight="1" x14ac:dyDescent="0.25">
      <c r="A42" s="108" t="s">
        <v>32</v>
      </c>
      <c r="B42" s="31" t="s">
        <v>52</v>
      </c>
      <c r="C42" s="16" t="s">
        <v>53</v>
      </c>
      <c r="D42" s="16" t="s">
        <v>54</v>
      </c>
      <c r="E42" s="16" t="s">
        <v>55</v>
      </c>
      <c r="F42" s="16" t="s">
        <v>38</v>
      </c>
      <c r="G42" s="31" t="s">
        <v>52</v>
      </c>
      <c r="H42" s="16" t="s">
        <v>53</v>
      </c>
      <c r="I42" s="16" t="s">
        <v>54</v>
      </c>
      <c r="J42" s="32" t="s">
        <v>55</v>
      </c>
    </row>
    <row r="43" spans="1:10" ht="12.75" customHeight="1" x14ac:dyDescent="0.25">
      <c r="A43" s="105" t="s">
        <v>26</v>
      </c>
      <c r="B43" s="33"/>
      <c r="C43" s="20"/>
      <c r="D43" s="20"/>
      <c r="E43" s="20"/>
      <c r="F43" s="17" t="s">
        <v>39</v>
      </c>
      <c r="G43" s="33" t="s">
        <v>134</v>
      </c>
      <c r="H43" s="17">
        <v>0</v>
      </c>
      <c r="I43" s="17">
        <v>0</v>
      </c>
      <c r="J43" s="50"/>
    </row>
    <row r="44" spans="1:10" ht="12.75" customHeight="1" x14ac:dyDescent="0.25">
      <c r="A44" s="105" t="s">
        <v>26</v>
      </c>
      <c r="B44" s="35" t="s">
        <v>60</v>
      </c>
      <c r="C44" s="17">
        <v>2</v>
      </c>
      <c r="D44" s="17">
        <v>2</v>
      </c>
      <c r="E44" s="17"/>
      <c r="F44" s="17" t="s">
        <v>39</v>
      </c>
      <c r="G44" s="33" t="s">
        <v>60</v>
      </c>
      <c r="H44" s="17">
        <v>2</v>
      </c>
      <c r="I44" s="17">
        <v>2</v>
      </c>
      <c r="J44" s="34"/>
    </row>
    <row r="45" spans="1:10" ht="12.75" customHeight="1" thickBot="1" x14ac:dyDescent="0.3">
      <c r="A45" s="8" t="s">
        <v>26</v>
      </c>
      <c r="B45" s="37" t="s">
        <v>61</v>
      </c>
      <c r="C45" s="22">
        <v>2</v>
      </c>
      <c r="D45" s="22">
        <v>2</v>
      </c>
      <c r="E45" s="19"/>
      <c r="F45" s="19" t="s">
        <v>40</v>
      </c>
      <c r="G45" s="37" t="s">
        <v>61</v>
      </c>
      <c r="H45" s="19">
        <f>SUM(H44:H44)</f>
        <v>2</v>
      </c>
      <c r="I45" s="19">
        <f>SUM(I44:I44)</f>
        <v>2</v>
      </c>
      <c r="J45" s="38"/>
    </row>
    <row r="46" spans="1:10" ht="12.75" customHeight="1" x14ac:dyDescent="0.2">
      <c r="A46" s="104" t="s">
        <v>33</v>
      </c>
      <c r="B46" s="33"/>
      <c r="C46" s="20"/>
      <c r="D46" s="20"/>
      <c r="E46" s="17"/>
      <c r="F46" s="20" t="s">
        <v>41</v>
      </c>
      <c r="G46" s="40"/>
      <c r="H46" s="17"/>
      <c r="I46" s="17"/>
      <c r="J46" s="34"/>
    </row>
    <row r="47" spans="1:10" ht="12.75" customHeight="1" thickBot="1" x14ac:dyDescent="0.3">
      <c r="A47" s="8" t="s">
        <v>33</v>
      </c>
      <c r="B47" s="37" t="s">
        <v>61</v>
      </c>
      <c r="C47" s="19">
        <f>SUM(C46:C46)</f>
        <v>0</v>
      </c>
      <c r="D47" s="19">
        <f>SUM(D46:D46)</f>
        <v>0</v>
      </c>
      <c r="E47" s="19"/>
      <c r="F47" s="19" t="s">
        <v>42</v>
      </c>
      <c r="G47" s="37" t="s">
        <v>61</v>
      </c>
      <c r="H47" s="19">
        <f>SUM(H46:H46)</f>
        <v>0</v>
      </c>
      <c r="I47" s="19">
        <f>SUM(I46:I46)</f>
        <v>0</v>
      </c>
      <c r="J47" s="38"/>
    </row>
    <row r="48" spans="1:10" ht="12.75" customHeight="1" x14ac:dyDescent="0.25">
      <c r="A48" s="108" t="s">
        <v>34</v>
      </c>
      <c r="B48" s="43" t="s">
        <v>93</v>
      </c>
      <c r="C48" s="42">
        <v>3</v>
      </c>
      <c r="D48" s="42">
        <v>3</v>
      </c>
      <c r="E48" s="16"/>
      <c r="F48" s="16" t="s">
        <v>43</v>
      </c>
      <c r="G48" s="43" t="s">
        <v>94</v>
      </c>
      <c r="H48" s="42">
        <v>3</v>
      </c>
      <c r="I48" s="42">
        <v>3</v>
      </c>
      <c r="J48" s="32"/>
    </row>
    <row r="49" spans="1:10" ht="12.75" customHeight="1" x14ac:dyDescent="0.25">
      <c r="A49" s="104" t="s">
        <v>34</v>
      </c>
      <c r="B49" s="6" t="s">
        <v>95</v>
      </c>
      <c r="C49" s="44">
        <v>3</v>
      </c>
      <c r="D49" s="44">
        <v>3</v>
      </c>
      <c r="E49" s="17"/>
      <c r="F49" s="20" t="s">
        <v>43</v>
      </c>
      <c r="G49" s="6" t="s">
        <v>96</v>
      </c>
      <c r="H49" s="44">
        <v>3</v>
      </c>
      <c r="I49" s="44">
        <v>3</v>
      </c>
      <c r="J49" s="34"/>
    </row>
    <row r="50" spans="1:10" ht="12.75" customHeight="1" x14ac:dyDescent="0.2">
      <c r="A50" s="104" t="s">
        <v>34</v>
      </c>
      <c r="B50" s="40"/>
      <c r="C50" s="17"/>
      <c r="D50" s="17"/>
      <c r="E50" s="17"/>
      <c r="F50" s="20" t="s">
        <v>43</v>
      </c>
      <c r="G50" s="6" t="s">
        <v>97</v>
      </c>
      <c r="H50" s="44">
        <v>1</v>
      </c>
      <c r="I50" s="44">
        <v>2</v>
      </c>
      <c r="J50" s="34"/>
    </row>
    <row r="51" spans="1:10" ht="12.75" customHeight="1" thickBot="1" x14ac:dyDescent="0.3">
      <c r="A51" s="9" t="s">
        <v>34</v>
      </c>
      <c r="B51" s="51" t="s">
        <v>61</v>
      </c>
      <c r="C51" s="23">
        <f>SUM(C48:C50)</f>
        <v>6</v>
      </c>
      <c r="D51" s="23">
        <f>SUM(D48:D50)</f>
        <v>6</v>
      </c>
      <c r="E51" s="23"/>
      <c r="F51" s="23" t="s">
        <v>44</v>
      </c>
      <c r="G51" s="51" t="s">
        <v>61</v>
      </c>
      <c r="H51" s="23">
        <f>SUM(H48:H50)</f>
        <v>7</v>
      </c>
      <c r="I51" s="23">
        <f>SUM(I48:I50)</f>
        <v>8</v>
      </c>
      <c r="J51" s="52"/>
    </row>
    <row r="52" spans="1:10" ht="12.75" customHeight="1" x14ac:dyDescent="0.25">
      <c r="A52" s="150" t="s">
        <v>35</v>
      </c>
      <c r="B52" s="43" t="s">
        <v>98</v>
      </c>
      <c r="C52" s="42">
        <v>3</v>
      </c>
      <c r="D52" s="42">
        <v>3</v>
      </c>
      <c r="E52" s="16"/>
      <c r="F52" s="154" t="s">
        <v>46</v>
      </c>
      <c r="G52" s="43" t="s">
        <v>99</v>
      </c>
      <c r="H52" s="42">
        <v>3</v>
      </c>
      <c r="I52" s="42">
        <v>3</v>
      </c>
      <c r="J52" s="32"/>
    </row>
    <row r="53" spans="1:10" ht="12.75" customHeight="1" x14ac:dyDescent="0.25">
      <c r="A53" s="151"/>
      <c r="B53" s="6" t="s">
        <v>100</v>
      </c>
      <c r="C53" s="44">
        <v>3</v>
      </c>
      <c r="D53" s="44">
        <v>3</v>
      </c>
      <c r="E53" s="17"/>
      <c r="F53" s="155"/>
      <c r="G53" s="6" t="s">
        <v>101</v>
      </c>
      <c r="H53" s="44">
        <v>3</v>
      </c>
      <c r="I53" s="44">
        <v>3</v>
      </c>
      <c r="J53" s="34"/>
    </row>
    <row r="54" spans="1:10" ht="12.75" customHeight="1" x14ac:dyDescent="0.25">
      <c r="A54" s="152"/>
      <c r="B54" s="6" t="s">
        <v>102</v>
      </c>
      <c r="C54" s="44">
        <v>3</v>
      </c>
      <c r="D54" s="44">
        <v>3</v>
      </c>
      <c r="E54" s="18"/>
      <c r="F54" s="156"/>
      <c r="G54" s="6" t="s">
        <v>103</v>
      </c>
      <c r="H54" s="44">
        <v>3</v>
      </c>
      <c r="I54" s="44">
        <v>3</v>
      </c>
      <c r="J54" s="36"/>
    </row>
    <row r="55" spans="1:10" ht="12.75" customHeight="1" x14ac:dyDescent="0.25">
      <c r="A55" s="152"/>
      <c r="B55" s="33" t="s">
        <v>116</v>
      </c>
      <c r="C55" s="110">
        <v>3</v>
      </c>
      <c r="D55" s="110">
        <v>3</v>
      </c>
      <c r="E55" s="18"/>
      <c r="F55" s="156"/>
      <c r="G55" s="67" t="s">
        <v>29</v>
      </c>
      <c r="H55" s="44">
        <v>3</v>
      </c>
      <c r="I55" s="44">
        <v>3</v>
      </c>
      <c r="J55" s="36"/>
    </row>
    <row r="56" spans="1:10" ht="13.5" customHeight="1" thickBot="1" x14ac:dyDescent="0.3">
      <c r="A56" s="153"/>
      <c r="B56" s="46"/>
      <c r="C56" s="46"/>
      <c r="D56" s="46"/>
      <c r="E56" s="22"/>
      <c r="F56" s="157"/>
      <c r="G56" s="112" t="s">
        <v>145</v>
      </c>
      <c r="H56" s="109">
        <v>3</v>
      </c>
      <c r="I56" s="19">
        <v>3</v>
      </c>
      <c r="J56" s="54"/>
    </row>
    <row r="57" spans="1:10" ht="12.75" customHeight="1" x14ac:dyDescent="0.25">
      <c r="A57" s="150" t="s">
        <v>36</v>
      </c>
      <c r="B57" s="55" t="s">
        <v>104</v>
      </c>
      <c r="C57" s="56">
        <v>3</v>
      </c>
      <c r="D57" s="56">
        <v>3</v>
      </c>
      <c r="E57" s="57"/>
      <c r="F57" s="154" t="s">
        <v>47</v>
      </c>
      <c r="G57" s="31" t="s">
        <v>99</v>
      </c>
      <c r="H57" s="16">
        <v>3</v>
      </c>
      <c r="I57" s="16">
        <v>3</v>
      </c>
      <c r="J57" s="58"/>
    </row>
    <row r="58" spans="1:10" ht="12.75" customHeight="1" x14ac:dyDescent="0.25">
      <c r="A58" s="151"/>
      <c r="B58" s="114" t="s">
        <v>148</v>
      </c>
      <c r="C58" s="44">
        <v>3</v>
      </c>
      <c r="D58" s="44">
        <v>3</v>
      </c>
      <c r="E58" s="17"/>
      <c r="F58" s="155"/>
      <c r="G58" s="33" t="s">
        <v>105</v>
      </c>
      <c r="H58" s="44">
        <v>3</v>
      </c>
      <c r="I58" s="44">
        <v>3</v>
      </c>
      <c r="J58" s="34"/>
    </row>
    <row r="59" spans="1:10" ht="12" x14ac:dyDescent="0.25">
      <c r="A59" s="152"/>
      <c r="B59" s="6" t="s">
        <v>102</v>
      </c>
      <c r="C59" s="44">
        <v>3</v>
      </c>
      <c r="D59" s="44">
        <v>3</v>
      </c>
      <c r="E59" s="18"/>
      <c r="F59" s="156"/>
      <c r="G59" s="7" t="s">
        <v>30</v>
      </c>
      <c r="H59" s="44">
        <v>3</v>
      </c>
      <c r="I59" s="44">
        <v>3</v>
      </c>
      <c r="J59" s="36"/>
    </row>
    <row r="60" spans="1:10" ht="12.75" customHeight="1" thickBot="1" x14ac:dyDescent="0.3">
      <c r="A60" s="153"/>
      <c r="B60" s="59"/>
      <c r="C60" s="60"/>
      <c r="D60" s="60"/>
      <c r="E60" s="22"/>
      <c r="F60" s="157"/>
      <c r="G60" s="5" t="s">
        <v>29</v>
      </c>
      <c r="H60" s="53">
        <v>3</v>
      </c>
      <c r="I60" s="53">
        <v>3</v>
      </c>
      <c r="J60" s="54"/>
    </row>
    <row r="61" spans="1:10" ht="14.25" customHeight="1" x14ac:dyDescent="0.25">
      <c r="A61" s="158" t="s">
        <v>153</v>
      </c>
      <c r="B61" s="43" t="s">
        <v>106</v>
      </c>
      <c r="C61" s="42">
        <v>3</v>
      </c>
      <c r="D61" s="42">
        <v>3</v>
      </c>
      <c r="E61" s="16"/>
      <c r="F61" s="162" t="s">
        <v>154</v>
      </c>
      <c r="G61" s="99" t="s">
        <v>28</v>
      </c>
      <c r="H61" s="92">
        <v>3</v>
      </c>
      <c r="I61" s="92">
        <v>3</v>
      </c>
      <c r="J61" s="32"/>
    </row>
    <row r="62" spans="1:10" ht="14.25" customHeight="1" x14ac:dyDescent="0.25">
      <c r="A62" s="159"/>
      <c r="B62" s="6" t="s">
        <v>107</v>
      </c>
      <c r="C62" s="44">
        <v>3</v>
      </c>
      <c r="D62" s="44">
        <v>3</v>
      </c>
      <c r="E62" s="17"/>
      <c r="F62" s="163"/>
      <c r="G62" s="6" t="s">
        <v>108</v>
      </c>
      <c r="H62" s="44">
        <v>3</v>
      </c>
      <c r="I62" s="44">
        <v>3</v>
      </c>
      <c r="J62" s="34"/>
    </row>
    <row r="63" spans="1:10" ht="14.25" customHeight="1" x14ac:dyDescent="0.25">
      <c r="A63" s="160"/>
      <c r="B63" s="114" t="s">
        <v>144</v>
      </c>
      <c r="C63" s="44">
        <v>3</v>
      </c>
      <c r="D63" s="44">
        <v>3</v>
      </c>
      <c r="E63" s="18"/>
      <c r="F63" s="164"/>
      <c r="G63" s="6" t="s">
        <v>109</v>
      </c>
      <c r="H63" s="44">
        <v>3</v>
      </c>
      <c r="I63" s="44">
        <v>3</v>
      </c>
      <c r="J63" s="36"/>
    </row>
    <row r="64" spans="1:10" ht="14.25" customHeight="1" thickBot="1" x14ac:dyDescent="0.3">
      <c r="A64" s="161"/>
      <c r="B64" s="115"/>
      <c r="C64" s="60"/>
      <c r="D64" s="60"/>
      <c r="E64" s="22"/>
      <c r="F64" s="165"/>
      <c r="G64" s="45" t="s">
        <v>105</v>
      </c>
      <c r="H64" s="123">
        <v>3</v>
      </c>
      <c r="I64" s="123">
        <v>3</v>
      </c>
      <c r="J64" s="54"/>
    </row>
    <row r="65" spans="1:10" ht="14.25" customHeight="1" thickBot="1" x14ac:dyDescent="0.3">
      <c r="A65" s="10" t="s">
        <v>3</v>
      </c>
      <c r="B65" s="61" t="s">
        <v>110</v>
      </c>
      <c r="C65" s="62">
        <v>3</v>
      </c>
      <c r="D65" s="62">
        <v>3</v>
      </c>
      <c r="E65" s="25"/>
      <c r="F65" s="21" t="s">
        <v>45</v>
      </c>
      <c r="G65" s="93"/>
      <c r="H65" s="94"/>
      <c r="I65" s="94"/>
      <c r="J65" s="63"/>
    </row>
    <row r="66" spans="1:10" ht="14.25" customHeight="1" thickBot="1" x14ac:dyDescent="0.25">
      <c r="A66" s="11"/>
      <c r="B66" s="64"/>
      <c r="C66" s="65"/>
      <c r="D66" s="65"/>
      <c r="E66" s="24"/>
      <c r="F66" s="24"/>
      <c r="G66" s="66"/>
      <c r="H66" s="65"/>
      <c r="I66" s="65"/>
      <c r="J66" s="24"/>
    </row>
    <row r="67" spans="1:10" ht="14.25" customHeight="1" x14ac:dyDescent="0.25">
      <c r="A67" s="147" t="s">
        <v>111</v>
      </c>
      <c r="B67" s="148"/>
      <c r="C67" s="148"/>
      <c r="D67" s="148"/>
      <c r="E67" s="148"/>
      <c r="F67" s="148"/>
      <c r="G67" s="148"/>
      <c r="H67" s="148"/>
      <c r="I67" s="148"/>
      <c r="J67" s="149"/>
    </row>
    <row r="68" spans="1:10" ht="14.25" customHeight="1" thickBot="1" x14ac:dyDescent="0.3">
      <c r="A68" s="143" t="s">
        <v>50</v>
      </c>
      <c r="B68" s="144"/>
      <c r="C68" s="144"/>
      <c r="D68" s="144"/>
      <c r="E68" s="144"/>
      <c r="F68" s="145" t="s">
        <v>51</v>
      </c>
      <c r="G68" s="144"/>
      <c r="H68" s="144"/>
      <c r="I68" s="144"/>
      <c r="J68" s="146"/>
    </row>
    <row r="69" spans="1:10" ht="14.25" customHeight="1" x14ac:dyDescent="0.25">
      <c r="A69" s="108" t="s">
        <v>32</v>
      </c>
      <c r="B69" s="31" t="s">
        <v>52</v>
      </c>
      <c r="C69" s="16" t="s">
        <v>53</v>
      </c>
      <c r="D69" s="16" t="s">
        <v>54</v>
      </c>
      <c r="E69" s="16" t="s">
        <v>55</v>
      </c>
      <c r="F69" s="16" t="s">
        <v>38</v>
      </c>
      <c r="G69" s="31" t="s">
        <v>52</v>
      </c>
      <c r="H69" s="16" t="s">
        <v>53</v>
      </c>
      <c r="I69" s="16" t="s">
        <v>54</v>
      </c>
      <c r="J69" s="32" t="s">
        <v>55</v>
      </c>
    </row>
    <row r="70" spans="1:10" ht="14.25" customHeight="1" x14ac:dyDescent="0.25">
      <c r="A70" s="105" t="s">
        <v>26</v>
      </c>
      <c r="B70" s="33"/>
      <c r="C70" s="17"/>
      <c r="D70" s="17"/>
      <c r="E70" s="67"/>
      <c r="F70" s="90" t="s">
        <v>26</v>
      </c>
      <c r="G70" s="89" t="s">
        <v>27</v>
      </c>
      <c r="H70" s="91">
        <v>0</v>
      </c>
      <c r="I70" s="91">
        <v>0</v>
      </c>
      <c r="J70" s="68"/>
    </row>
    <row r="71" spans="1:10" ht="14.25" customHeight="1" thickBot="1" x14ac:dyDescent="0.3">
      <c r="A71" s="8" t="s">
        <v>26</v>
      </c>
      <c r="B71" s="37" t="s">
        <v>61</v>
      </c>
      <c r="C71" s="19">
        <f>SUM(C70:C70)</f>
        <v>0</v>
      </c>
      <c r="D71" s="19">
        <f>SUM(D70:D70)</f>
        <v>0</v>
      </c>
      <c r="E71" s="19"/>
      <c r="F71" s="19" t="s">
        <v>40</v>
      </c>
      <c r="G71" s="37" t="s">
        <v>61</v>
      </c>
      <c r="H71" s="19">
        <f>SUM(H43:H43)</f>
        <v>0</v>
      </c>
      <c r="I71" s="19">
        <f>SUM(I43:I43)</f>
        <v>0</v>
      </c>
      <c r="J71" s="38"/>
    </row>
    <row r="72" spans="1:10" ht="14.25" customHeight="1" thickBot="1" x14ac:dyDescent="0.25">
      <c r="A72" s="10" t="s">
        <v>33</v>
      </c>
      <c r="B72" s="61"/>
      <c r="C72" s="25"/>
      <c r="D72" s="25"/>
      <c r="E72" s="25"/>
      <c r="F72" s="25" t="s">
        <v>41</v>
      </c>
      <c r="G72" s="69"/>
      <c r="H72" s="25"/>
      <c r="I72" s="25"/>
      <c r="J72" s="70"/>
    </row>
    <row r="73" spans="1:10" ht="14.25" customHeight="1" x14ac:dyDescent="0.25">
      <c r="A73" s="12" t="s">
        <v>33</v>
      </c>
      <c r="B73" s="71" t="s">
        <v>61</v>
      </c>
      <c r="C73" s="26">
        <f>SUM(C72:C72)</f>
        <v>0</v>
      </c>
      <c r="D73" s="26">
        <f>SUM(D72:D72)</f>
        <v>0</v>
      </c>
      <c r="E73" s="26"/>
      <c r="F73" s="26" t="s">
        <v>42</v>
      </c>
      <c r="G73" s="71" t="s">
        <v>61</v>
      </c>
      <c r="H73" s="26">
        <f>SUM(H72:H72)</f>
        <v>0</v>
      </c>
      <c r="I73" s="26">
        <f>SUM(I72:I72)</f>
        <v>0</v>
      </c>
      <c r="J73" s="72"/>
    </row>
    <row r="74" spans="1:10" ht="14.25" customHeight="1" x14ac:dyDescent="0.25">
      <c r="A74" s="105" t="s">
        <v>34</v>
      </c>
      <c r="B74" s="6" t="s">
        <v>112</v>
      </c>
      <c r="C74" s="44">
        <v>1</v>
      </c>
      <c r="D74" s="44">
        <v>2</v>
      </c>
      <c r="E74" s="17"/>
      <c r="F74" s="17" t="s">
        <v>43</v>
      </c>
      <c r="G74" s="33" t="s">
        <v>113</v>
      </c>
      <c r="H74" s="44">
        <v>0</v>
      </c>
      <c r="I74" s="44">
        <v>0</v>
      </c>
      <c r="J74" s="34"/>
    </row>
    <row r="75" spans="1:10" ht="14.25" customHeight="1" x14ac:dyDescent="0.25">
      <c r="A75" s="105" t="s">
        <v>34</v>
      </c>
      <c r="B75" s="100"/>
      <c r="C75" s="101"/>
      <c r="D75" s="102"/>
      <c r="E75" s="17"/>
      <c r="F75" s="17" t="s">
        <v>43</v>
      </c>
      <c r="G75" s="49" t="s">
        <v>10</v>
      </c>
      <c r="H75" s="17">
        <v>1</v>
      </c>
      <c r="I75" s="17">
        <v>0</v>
      </c>
      <c r="J75" s="34"/>
    </row>
    <row r="76" spans="1:10" ht="14.25" customHeight="1" x14ac:dyDescent="0.25">
      <c r="A76" s="116"/>
      <c r="B76" s="119"/>
      <c r="C76" s="120"/>
      <c r="D76" s="121"/>
      <c r="E76" s="18"/>
      <c r="F76" s="17" t="s">
        <v>43</v>
      </c>
      <c r="G76" s="132" t="s">
        <v>150</v>
      </c>
      <c r="H76" s="17">
        <v>0</v>
      </c>
      <c r="I76" s="17">
        <v>0</v>
      </c>
      <c r="J76" s="36"/>
    </row>
    <row r="77" spans="1:10" ht="14.25" customHeight="1" thickBot="1" x14ac:dyDescent="0.3">
      <c r="A77" s="8" t="s">
        <v>34</v>
      </c>
      <c r="B77" s="37" t="s">
        <v>61</v>
      </c>
      <c r="C77" s="19">
        <v>1</v>
      </c>
      <c r="D77" s="19">
        <f>SUM(D74:D74)</f>
        <v>2</v>
      </c>
      <c r="E77" s="19"/>
      <c r="F77" s="19" t="s">
        <v>44</v>
      </c>
      <c r="G77" s="37" t="s">
        <v>61</v>
      </c>
      <c r="H77" s="19">
        <v>1</v>
      </c>
      <c r="I77" s="19">
        <f>SUM(I74:I74)</f>
        <v>0</v>
      </c>
      <c r="J77" s="38"/>
    </row>
    <row r="78" spans="1:10" ht="14.25" customHeight="1" x14ac:dyDescent="0.25">
      <c r="A78" s="166" t="s">
        <v>157</v>
      </c>
      <c r="B78" s="39" t="s">
        <v>114</v>
      </c>
      <c r="C78" s="20">
        <v>3</v>
      </c>
      <c r="D78" s="20">
        <v>3</v>
      </c>
      <c r="E78" s="20"/>
      <c r="F78" s="167" t="s">
        <v>158</v>
      </c>
      <c r="G78" s="39" t="s">
        <v>115</v>
      </c>
      <c r="H78" s="20">
        <v>3</v>
      </c>
      <c r="I78" s="20">
        <v>3</v>
      </c>
      <c r="J78" s="50"/>
    </row>
    <row r="79" spans="1:10" ht="14.25" customHeight="1" x14ac:dyDescent="0.25">
      <c r="A79" s="151"/>
      <c r="B79" s="49" t="s">
        <v>159</v>
      </c>
      <c r="C79" s="17">
        <v>3</v>
      </c>
      <c r="D79" s="17">
        <v>3</v>
      </c>
      <c r="E79" s="17"/>
      <c r="F79" s="155"/>
      <c r="G79" s="124" t="s">
        <v>23</v>
      </c>
      <c r="H79" s="17">
        <v>3</v>
      </c>
      <c r="I79" s="17">
        <v>3</v>
      </c>
      <c r="J79" s="34"/>
    </row>
    <row r="80" spans="1:10" ht="14.25" customHeight="1" x14ac:dyDescent="0.25">
      <c r="A80" s="152"/>
      <c r="B80" s="111"/>
      <c r="C80" s="95"/>
      <c r="D80" s="95"/>
      <c r="E80" s="18"/>
      <c r="F80" s="156"/>
      <c r="G80" s="126" t="s">
        <v>7</v>
      </c>
      <c r="H80" s="17">
        <v>3</v>
      </c>
      <c r="I80" s="17">
        <v>3</v>
      </c>
      <c r="J80" s="34"/>
    </row>
    <row r="81" spans="1:10" ht="14.25" customHeight="1" thickBot="1" x14ac:dyDescent="0.3">
      <c r="A81" s="153"/>
      <c r="B81" s="73"/>
      <c r="C81" s="21"/>
      <c r="D81" s="21"/>
      <c r="E81" s="22"/>
      <c r="F81" s="157"/>
      <c r="G81" s="96" t="s">
        <v>25</v>
      </c>
      <c r="H81" s="137">
        <v>3</v>
      </c>
      <c r="I81" s="137">
        <v>3</v>
      </c>
      <c r="J81" s="63"/>
    </row>
    <row r="82" spans="1:10" ht="14.25" customHeight="1" x14ac:dyDescent="0.25">
      <c r="A82" s="166" t="s">
        <v>160</v>
      </c>
      <c r="B82" s="112" t="s">
        <v>161</v>
      </c>
      <c r="C82" s="20">
        <v>3</v>
      </c>
      <c r="D82" s="20">
        <v>3</v>
      </c>
      <c r="E82" s="74"/>
      <c r="F82" s="167" t="s">
        <v>162</v>
      </c>
      <c r="G82" s="127" t="s">
        <v>8</v>
      </c>
      <c r="H82" s="20">
        <v>3</v>
      </c>
      <c r="I82" s="20">
        <v>3</v>
      </c>
      <c r="J82" s="75"/>
    </row>
    <row r="83" spans="1:10" ht="14.25" customHeight="1" x14ac:dyDescent="0.25">
      <c r="A83" s="166"/>
      <c r="B83" s="33" t="s">
        <v>117</v>
      </c>
      <c r="C83" s="17">
        <v>3</v>
      </c>
      <c r="D83" s="17">
        <v>3</v>
      </c>
      <c r="E83" s="67"/>
      <c r="F83" s="167"/>
      <c r="G83" s="97" t="s">
        <v>24</v>
      </c>
      <c r="H83" s="56">
        <v>3</v>
      </c>
      <c r="I83" s="56">
        <v>3</v>
      </c>
      <c r="J83" s="68"/>
    </row>
    <row r="84" spans="1:10" ht="14.25" customHeight="1" x14ac:dyDescent="0.25">
      <c r="A84" s="151"/>
      <c r="B84" s="33" t="s">
        <v>118</v>
      </c>
      <c r="C84" s="17">
        <v>3</v>
      </c>
      <c r="D84" s="17">
        <v>3</v>
      </c>
      <c r="E84" s="67"/>
      <c r="F84" s="155"/>
      <c r="G84" s="128" t="s">
        <v>168</v>
      </c>
      <c r="H84" s="136">
        <v>3</v>
      </c>
      <c r="I84" s="136">
        <v>3</v>
      </c>
      <c r="J84" s="68"/>
    </row>
    <row r="85" spans="1:10" ht="14.25" customHeight="1" thickBot="1" x14ac:dyDescent="0.3">
      <c r="A85" s="153"/>
      <c r="B85" s="73"/>
      <c r="C85" s="21"/>
      <c r="D85" s="21"/>
      <c r="E85" s="5"/>
      <c r="F85" s="157"/>
      <c r="G85" s="96" t="s">
        <v>25</v>
      </c>
      <c r="H85" s="138">
        <v>3</v>
      </c>
      <c r="I85" s="138">
        <v>3</v>
      </c>
      <c r="J85" s="47"/>
    </row>
    <row r="86" spans="1:10" ht="14.25" customHeight="1" x14ac:dyDescent="0.25">
      <c r="A86" s="168" t="s">
        <v>154</v>
      </c>
      <c r="B86" s="112" t="s">
        <v>161</v>
      </c>
      <c r="C86" s="20">
        <v>3</v>
      </c>
      <c r="D86" s="20">
        <v>3</v>
      </c>
      <c r="E86" s="20"/>
      <c r="F86" s="169" t="s">
        <v>153</v>
      </c>
      <c r="G86" s="39" t="s">
        <v>115</v>
      </c>
      <c r="H86" s="20">
        <v>3</v>
      </c>
      <c r="I86" s="20">
        <v>3</v>
      </c>
      <c r="J86" s="50"/>
    </row>
    <row r="87" spans="1:10" ht="14.25" customHeight="1" x14ac:dyDescent="0.25">
      <c r="A87" s="159"/>
      <c r="B87" s="33" t="s">
        <v>119</v>
      </c>
      <c r="C87" s="17">
        <v>3</v>
      </c>
      <c r="D87" s="17">
        <v>3</v>
      </c>
      <c r="E87" s="17"/>
      <c r="F87" s="163"/>
      <c r="G87" s="33" t="s">
        <v>120</v>
      </c>
      <c r="H87" s="17">
        <v>3</v>
      </c>
      <c r="I87" s="17">
        <v>3</v>
      </c>
      <c r="J87" s="34"/>
    </row>
    <row r="88" spans="1:10" ht="14.25" customHeight="1" x14ac:dyDescent="0.25">
      <c r="A88" s="160"/>
      <c r="B88" s="33" t="s">
        <v>121</v>
      </c>
      <c r="C88" s="17">
        <v>3</v>
      </c>
      <c r="D88" s="17">
        <v>3</v>
      </c>
      <c r="E88" s="18"/>
      <c r="F88" s="164"/>
      <c r="G88" s="131" t="s">
        <v>7</v>
      </c>
      <c r="H88" s="17">
        <v>3</v>
      </c>
      <c r="I88" s="17">
        <v>3</v>
      </c>
      <c r="J88" s="34"/>
    </row>
    <row r="89" spans="1:10" ht="14.25" customHeight="1" x14ac:dyDescent="0.25">
      <c r="A89" s="160"/>
      <c r="B89" s="98" t="s">
        <v>163</v>
      </c>
      <c r="C89" s="20">
        <v>3</v>
      </c>
      <c r="D89" s="20">
        <v>3</v>
      </c>
      <c r="E89" s="18"/>
      <c r="F89" s="164"/>
      <c r="G89" s="98" t="s">
        <v>22</v>
      </c>
      <c r="H89" s="17">
        <v>3</v>
      </c>
      <c r="I89" s="17">
        <v>3</v>
      </c>
      <c r="J89" s="34"/>
    </row>
    <row r="90" spans="1:10" ht="14.25" customHeight="1" x14ac:dyDescent="0.25">
      <c r="A90" s="160"/>
      <c r="B90" s="130" t="s">
        <v>155</v>
      </c>
      <c r="C90" s="135">
        <v>3</v>
      </c>
      <c r="D90" s="135">
        <v>3</v>
      </c>
      <c r="E90" s="18"/>
      <c r="F90" s="164"/>
      <c r="G90" s="129" t="s">
        <v>152</v>
      </c>
      <c r="H90" s="135">
        <v>3</v>
      </c>
      <c r="I90" s="135">
        <v>3</v>
      </c>
      <c r="J90" s="34"/>
    </row>
    <row r="91" spans="1:10" ht="14.25" customHeight="1" thickBot="1" x14ac:dyDescent="0.3">
      <c r="A91" s="160"/>
      <c r="B91" s="130" t="s">
        <v>156</v>
      </c>
      <c r="C91" s="135">
        <v>3</v>
      </c>
      <c r="D91" s="135">
        <v>3</v>
      </c>
      <c r="E91" s="18"/>
      <c r="F91" s="164"/>
      <c r="G91" s="130" t="s">
        <v>168</v>
      </c>
      <c r="H91" s="135">
        <v>3</v>
      </c>
      <c r="I91" s="135">
        <v>3</v>
      </c>
      <c r="J91" s="122"/>
    </row>
    <row r="92" spans="1:10" ht="12.75" customHeight="1" x14ac:dyDescent="0.25">
      <c r="A92" s="125" t="s">
        <v>3</v>
      </c>
      <c r="B92" s="43" t="s">
        <v>122</v>
      </c>
      <c r="C92" s="42">
        <v>1</v>
      </c>
      <c r="D92" s="42">
        <v>2</v>
      </c>
      <c r="E92" s="16"/>
      <c r="F92" s="16" t="s">
        <v>164</v>
      </c>
      <c r="G92" s="43" t="s">
        <v>165</v>
      </c>
      <c r="H92" s="42">
        <v>1</v>
      </c>
      <c r="I92" s="42">
        <v>2</v>
      </c>
      <c r="J92" s="32"/>
    </row>
    <row r="93" spans="1:10" ht="12.75" customHeight="1" x14ac:dyDescent="0.25">
      <c r="A93" s="20" t="s">
        <v>45</v>
      </c>
      <c r="B93" s="6" t="s">
        <v>123</v>
      </c>
      <c r="C93" s="44">
        <v>3</v>
      </c>
      <c r="D93" s="44">
        <v>3</v>
      </c>
      <c r="E93" s="17"/>
      <c r="F93" s="17" t="s">
        <v>45</v>
      </c>
      <c r="G93" s="114" t="s">
        <v>166</v>
      </c>
      <c r="H93" s="44">
        <v>2</v>
      </c>
      <c r="I93" s="44">
        <v>2</v>
      </c>
      <c r="J93" s="50"/>
    </row>
    <row r="94" spans="1:10" ht="12.75" customHeight="1" x14ac:dyDescent="0.25">
      <c r="A94" s="134" t="s">
        <v>45</v>
      </c>
      <c r="B94" s="113" t="s">
        <v>146</v>
      </c>
      <c r="C94" s="44">
        <v>2</v>
      </c>
      <c r="D94" s="44">
        <v>2</v>
      </c>
      <c r="E94" s="17"/>
      <c r="F94" s="103" t="s">
        <v>3</v>
      </c>
      <c r="G94" s="6"/>
      <c r="H94" s="44"/>
      <c r="I94" s="44"/>
      <c r="J94" s="50"/>
    </row>
    <row r="95" spans="1:10" ht="12.75" customHeight="1" x14ac:dyDescent="0.25">
      <c r="A95" s="134" t="s">
        <v>45</v>
      </c>
      <c r="B95" s="113" t="s">
        <v>147</v>
      </c>
      <c r="C95" s="44">
        <v>3</v>
      </c>
      <c r="D95" s="44">
        <v>3</v>
      </c>
      <c r="E95" s="17"/>
      <c r="F95" s="17"/>
      <c r="G95" s="6"/>
      <c r="H95" s="44"/>
      <c r="I95" s="44"/>
      <c r="J95" s="50"/>
    </row>
    <row r="96" spans="1:10" ht="12.75" customHeight="1" x14ac:dyDescent="0.25">
      <c r="A96" s="133" t="s">
        <v>3</v>
      </c>
      <c r="B96" s="100" t="s">
        <v>143</v>
      </c>
      <c r="C96" s="101">
        <v>3</v>
      </c>
      <c r="D96" s="102">
        <v>0</v>
      </c>
      <c r="E96" s="17"/>
      <c r="F96" s="18"/>
      <c r="G96" s="117"/>
      <c r="H96" s="118"/>
      <c r="I96" s="118"/>
      <c r="J96" s="34"/>
    </row>
    <row r="97" spans="1:10" s="76" customFormat="1" ht="12.75" customHeight="1" thickBot="1" x14ac:dyDescent="0.3">
      <c r="A97" s="13" t="s">
        <v>3</v>
      </c>
      <c r="B97" s="77" t="s">
        <v>4</v>
      </c>
      <c r="C97" s="78">
        <v>10</v>
      </c>
      <c r="D97" s="79">
        <v>0</v>
      </c>
      <c r="E97" s="3" t="s">
        <v>132</v>
      </c>
      <c r="F97" s="27" t="s">
        <v>3</v>
      </c>
      <c r="G97" s="80" t="s">
        <v>5</v>
      </c>
      <c r="H97" s="81">
        <v>10</v>
      </c>
      <c r="I97" s="27">
        <v>0</v>
      </c>
      <c r="J97" s="4" t="s">
        <v>132</v>
      </c>
    </row>
    <row r="98" spans="1:10" s="76" customFormat="1" ht="14.25" customHeight="1" x14ac:dyDescent="0.25">
      <c r="A98" s="14"/>
      <c r="B98" s="82"/>
      <c r="C98" s="83"/>
      <c r="D98" s="28"/>
      <c r="E98" s="84"/>
      <c r="F98" s="28"/>
      <c r="G98" s="82"/>
      <c r="H98" s="83"/>
      <c r="I98" s="28"/>
      <c r="J98" s="84"/>
    </row>
    <row r="99" spans="1:10" s="85" customFormat="1" ht="13.5" customHeight="1" x14ac:dyDescent="0.25">
      <c r="A99" s="170" t="s">
        <v>6</v>
      </c>
      <c r="B99" s="170"/>
      <c r="C99" s="170"/>
      <c r="D99" s="170"/>
      <c r="E99" s="170"/>
      <c r="F99" s="170"/>
      <c r="G99" s="170"/>
      <c r="H99" s="170"/>
      <c r="I99" s="170"/>
      <c r="J99" s="170"/>
    </row>
    <row r="100" spans="1:10" s="86" customFormat="1" ht="13.5" customHeight="1" x14ac:dyDescent="0.25">
      <c r="A100" s="171" t="s">
        <v>151</v>
      </c>
      <c r="B100" s="171"/>
      <c r="C100" s="171"/>
      <c r="D100" s="171"/>
      <c r="E100" s="171"/>
      <c r="F100" s="171"/>
      <c r="G100" s="171"/>
      <c r="H100" s="171"/>
      <c r="I100" s="171"/>
      <c r="J100" s="171"/>
    </row>
    <row r="101" spans="1:10" s="2" customFormat="1" ht="27.75" customHeight="1" x14ac:dyDescent="0.25">
      <c r="A101" s="172" t="s">
        <v>133</v>
      </c>
      <c r="B101" s="172"/>
      <c r="C101" s="172"/>
      <c r="D101" s="172"/>
      <c r="E101" s="172"/>
      <c r="F101" s="172"/>
      <c r="G101" s="172"/>
      <c r="H101" s="172"/>
      <c r="I101" s="172"/>
      <c r="J101" s="172"/>
    </row>
    <row r="102" spans="1:10" s="86" customFormat="1" ht="14.25" customHeight="1" x14ac:dyDescent="0.25">
      <c r="A102" s="173" t="s">
        <v>135</v>
      </c>
      <c r="B102" s="173"/>
      <c r="C102" s="173"/>
      <c r="D102" s="173"/>
      <c r="E102" s="173"/>
      <c r="F102" s="173"/>
      <c r="G102" s="173"/>
      <c r="H102" s="173"/>
      <c r="I102" s="173"/>
      <c r="J102" s="173"/>
    </row>
    <row r="103" spans="1:10" s="86" customFormat="1" ht="14.25" customHeight="1" x14ac:dyDescent="0.25">
      <c r="A103" s="174" t="s">
        <v>1</v>
      </c>
      <c r="B103" s="171"/>
      <c r="C103" s="171"/>
      <c r="D103" s="171"/>
      <c r="E103" s="171"/>
      <c r="F103" s="171"/>
      <c r="G103" s="171"/>
      <c r="H103" s="171"/>
      <c r="I103" s="171"/>
      <c r="J103" s="171"/>
    </row>
    <row r="104" spans="1:10" s="86" customFormat="1" ht="14.25" customHeight="1" x14ac:dyDescent="0.25">
      <c r="A104" s="175" t="s">
        <v>31</v>
      </c>
      <c r="B104" s="33" t="s">
        <v>124</v>
      </c>
      <c r="C104" s="155" t="s">
        <v>125</v>
      </c>
      <c r="D104" s="155"/>
      <c r="E104" s="155"/>
      <c r="F104" s="176" t="s">
        <v>48</v>
      </c>
      <c r="G104" s="176"/>
      <c r="H104" s="176"/>
      <c r="I104" s="176"/>
      <c r="J104" s="176"/>
    </row>
    <row r="105" spans="1:10" s="86" customFormat="1" ht="14.25" customHeight="1" x14ac:dyDescent="0.25">
      <c r="A105" s="175"/>
      <c r="B105" s="33" t="s">
        <v>126</v>
      </c>
      <c r="C105" s="155" t="s">
        <v>125</v>
      </c>
      <c r="D105" s="155"/>
      <c r="E105" s="155"/>
      <c r="F105" s="176"/>
      <c r="G105" s="176"/>
      <c r="H105" s="176"/>
      <c r="I105" s="176"/>
      <c r="J105" s="176"/>
    </row>
    <row r="106" spans="1:10" s="86" customFormat="1" ht="14.25" customHeight="1" x14ac:dyDescent="0.25">
      <c r="A106" s="175"/>
      <c r="B106" s="33" t="s">
        <v>127</v>
      </c>
      <c r="C106" s="155" t="s">
        <v>125</v>
      </c>
      <c r="D106" s="155"/>
      <c r="E106" s="155"/>
      <c r="F106" s="176"/>
      <c r="G106" s="176"/>
      <c r="H106" s="176"/>
      <c r="I106" s="176"/>
      <c r="J106" s="176"/>
    </row>
    <row r="107" spans="1:10" s="86" customFormat="1" ht="14.25" customHeight="1" x14ac:dyDescent="0.25">
      <c r="A107" s="175" t="s">
        <v>37</v>
      </c>
      <c r="B107" s="33" t="s">
        <v>128</v>
      </c>
      <c r="C107" s="155" t="s">
        <v>125</v>
      </c>
      <c r="D107" s="155"/>
      <c r="E107" s="155"/>
      <c r="F107" s="176"/>
      <c r="G107" s="176"/>
      <c r="H107" s="176"/>
      <c r="I107" s="176"/>
      <c r="J107" s="176"/>
    </row>
    <row r="108" spans="1:10" s="86" customFormat="1" ht="14.25" customHeight="1" x14ac:dyDescent="0.25">
      <c r="A108" s="175"/>
      <c r="B108" s="33" t="s">
        <v>129</v>
      </c>
      <c r="C108" s="155" t="s">
        <v>125</v>
      </c>
      <c r="D108" s="155"/>
      <c r="E108" s="155"/>
      <c r="F108" s="176"/>
      <c r="G108" s="176"/>
      <c r="H108" s="176"/>
      <c r="I108" s="176"/>
      <c r="J108" s="176"/>
    </row>
    <row r="109" spans="1:10" s="86" customFormat="1" ht="14.25" customHeight="1" x14ac:dyDescent="0.25">
      <c r="A109" s="175"/>
      <c r="B109" s="33" t="s">
        <v>130</v>
      </c>
      <c r="C109" s="155" t="s">
        <v>125</v>
      </c>
      <c r="D109" s="155"/>
      <c r="E109" s="155"/>
      <c r="F109" s="176"/>
      <c r="G109" s="176"/>
      <c r="H109" s="176"/>
      <c r="I109" s="176"/>
      <c r="J109" s="176"/>
    </row>
    <row r="110" spans="1:10" s="86" customFormat="1" ht="27.75" customHeight="1" x14ac:dyDescent="0.25">
      <c r="A110" s="177" t="s">
        <v>169</v>
      </c>
      <c r="B110" s="177"/>
      <c r="C110" s="177"/>
      <c r="D110" s="177"/>
      <c r="E110" s="177"/>
      <c r="F110" s="177"/>
      <c r="G110" s="177"/>
      <c r="H110" s="177"/>
      <c r="I110" s="177"/>
      <c r="J110" s="177"/>
    </row>
    <row r="111" spans="1:10" s="86" customFormat="1" ht="14.25" customHeight="1" x14ac:dyDescent="0.25">
      <c r="A111" s="172" t="s">
        <v>11</v>
      </c>
      <c r="B111" s="173"/>
      <c r="C111" s="173"/>
      <c r="D111" s="173"/>
      <c r="E111" s="173"/>
      <c r="F111" s="173"/>
      <c r="G111" s="173"/>
      <c r="H111" s="173"/>
      <c r="I111" s="173"/>
      <c r="J111" s="173"/>
    </row>
    <row r="112" spans="1:10" s="86" customFormat="1" ht="24.75" customHeight="1" x14ac:dyDescent="0.25">
      <c r="A112" s="173" t="s">
        <v>131</v>
      </c>
      <c r="B112" s="173"/>
      <c r="C112" s="173"/>
      <c r="D112" s="173"/>
      <c r="E112" s="173"/>
      <c r="F112" s="173"/>
      <c r="G112" s="173"/>
      <c r="H112" s="173"/>
      <c r="I112" s="173"/>
      <c r="J112" s="173"/>
    </row>
    <row r="113" spans="1:10" s="86" customFormat="1" ht="14.25" customHeight="1" x14ac:dyDescent="0.25">
      <c r="A113" s="178" t="s">
        <v>12</v>
      </c>
      <c r="B113" s="179"/>
      <c r="C113" s="179"/>
      <c r="D113" s="179"/>
      <c r="E113" s="179"/>
      <c r="F113" s="179"/>
      <c r="G113" s="179"/>
      <c r="H113" s="179"/>
      <c r="I113" s="179"/>
      <c r="J113" s="179"/>
    </row>
    <row r="114" spans="1:10" s="86" customFormat="1" ht="14.25" customHeight="1" x14ac:dyDescent="0.25">
      <c r="A114" s="174" t="s">
        <v>13</v>
      </c>
      <c r="B114" s="171"/>
      <c r="C114" s="171"/>
      <c r="D114" s="171"/>
      <c r="E114" s="171"/>
      <c r="F114" s="171"/>
      <c r="G114" s="171"/>
      <c r="H114" s="171"/>
      <c r="I114" s="171"/>
      <c r="J114" s="171"/>
    </row>
    <row r="115" spans="1:10" s="86" customFormat="1" ht="14.25" customHeight="1" x14ac:dyDescent="0.25">
      <c r="A115" s="174" t="s">
        <v>14</v>
      </c>
      <c r="B115" s="171"/>
      <c r="C115" s="171"/>
      <c r="D115" s="171"/>
      <c r="E115" s="171"/>
      <c r="F115" s="171"/>
      <c r="G115" s="171"/>
      <c r="H115" s="171"/>
      <c r="I115" s="171"/>
      <c r="J115" s="171"/>
    </row>
    <row r="116" spans="1:10" s="86" customFormat="1" ht="14.25" customHeight="1" x14ac:dyDescent="0.25">
      <c r="A116" s="174" t="s">
        <v>15</v>
      </c>
      <c r="B116" s="171"/>
      <c r="C116" s="171"/>
      <c r="D116" s="171"/>
      <c r="E116" s="171"/>
      <c r="F116" s="171"/>
      <c r="G116" s="171"/>
      <c r="H116" s="171"/>
      <c r="I116" s="171"/>
      <c r="J116" s="171"/>
    </row>
    <row r="117" spans="1:10" s="86" customFormat="1" ht="14.25" customHeight="1" x14ac:dyDescent="0.25">
      <c r="A117" s="174" t="s">
        <v>16</v>
      </c>
      <c r="B117" s="171"/>
      <c r="C117" s="171"/>
      <c r="D117" s="171"/>
      <c r="E117" s="171"/>
      <c r="F117" s="171"/>
      <c r="G117" s="171"/>
      <c r="H117" s="171"/>
      <c r="I117" s="171"/>
      <c r="J117" s="171"/>
    </row>
    <row r="118" spans="1:10" s="86" customFormat="1" ht="14.25" customHeight="1" x14ac:dyDescent="0.25">
      <c r="A118" s="174" t="s">
        <v>17</v>
      </c>
      <c r="B118" s="171"/>
      <c r="C118" s="171"/>
      <c r="D118" s="171"/>
      <c r="E118" s="171"/>
      <c r="F118" s="171"/>
      <c r="G118" s="171"/>
      <c r="H118" s="171"/>
      <c r="I118" s="171"/>
      <c r="J118" s="171"/>
    </row>
    <row r="119" spans="1:10" s="86" customFormat="1" ht="14.25" customHeight="1" x14ac:dyDescent="0.25">
      <c r="A119" s="174" t="s">
        <v>18</v>
      </c>
      <c r="B119" s="171"/>
      <c r="C119" s="171"/>
      <c r="D119" s="171"/>
      <c r="E119" s="171"/>
      <c r="F119" s="171"/>
      <c r="G119" s="171"/>
      <c r="H119" s="171"/>
      <c r="I119" s="171"/>
      <c r="J119" s="171"/>
    </row>
    <row r="120" spans="1:10" s="86" customFormat="1" ht="14.25" customHeight="1" x14ac:dyDescent="0.25">
      <c r="A120" s="174" t="s">
        <v>19</v>
      </c>
      <c r="B120" s="171"/>
      <c r="C120" s="171"/>
      <c r="D120" s="171"/>
      <c r="E120" s="171"/>
      <c r="F120" s="171"/>
      <c r="G120" s="171"/>
      <c r="H120" s="171"/>
      <c r="I120" s="171"/>
      <c r="J120" s="171"/>
    </row>
    <row r="121" spans="1:10" s="86" customFormat="1" ht="14.25" customHeight="1" x14ac:dyDescent="0.25">
      <c r="A121" s="174" t="s">
        <v>20</v>
      </c>
      <c r="B121" s="171"/>
      <c r="C121" s="171"/>
      <c r="D121" s="171"/>
      <c r="E121" s="171"/>
      <c r="F121" s="171"/>
      <c r="G121" s="171"/>
      <c r="H121" s="171"/>
      <c r="I121" s="171"/>
      <c r="J121" s="171"/>
    </row>
    <row r="122" spans="1:10" s="86" customFormat="1" ht="14.25" customHeight="1" x14ac:dyDescent="0.25">
      <c r="A122" s="174" t="s">
        <v>21</v>
      </c>
      <c r="B122" s="171"/>
      <c r="C122" s="171"/>
      <c r="D122" s="171"/>
      <c r="E122" s="171"/>
      <c r="F122" s="171"/>
      <c r="G122" s="171"/>
      <c r="H122" s="171"/>
      <c r="I122" s="171"/>
      <c r="J122" s="171"/>
    </row>
    <row r="123" spans="1:10" s="88" customFormat="1" ht="12.75" customHeight="1" x14ac:dyDescent="0.25">
      <c r="A123" s="180" t="s">
        <v>167</v>
      </c>
      <c r="B123" s="180"/>
      <c r="C123" s="180"/>
      <c r="D123" s="180"/>
      <c r="E123" s="180"/>
      <c r="F123" s="180"/>
      <c r="G123" s="180"/>
      <c r="H123" s="180"/>
      <c r="I123" s="180"/>
      <c r="J123" s="180"/>
    </row>
  </sheetData>
  <mergeCells count="53">
    <mergeCell ref="A120:J120"/>
    <mergeCell ref="A121:J121"/>
    <mergeCell ref="A122:J122"/>
    <mergeCell ref="A123:J123"/>
    <mergeCell ref="A114:J114"/>
    <mergeCell ref="A115:J115"/>
    <mergeCell ref="A116:J116"/>
    <mergeCell ref="A117:J117"/>
    <mergeCell ref="A118:J118"/>
    <mergeCell ref="A119:J119"/>
    <mergeCell ref="C108:E108"/>
    <mergeCell ref="C109:E109"/>
    <mergeCell ref="A110:J110"/>
    <mergeCell ref="A111:J111"/>
    <mergeCell ref="A112:J112"/>
    <mergeCell ref="A113:J113"/>
    <mergeCell ref="A101:J101"/>
    <mergeCell ref="A102:J102"/>
    <mergeCell ref="A103:J103"/>
    <mergeCell ref="A104:A106"/>
    <mergeCell ref="C104:E104"/>
    <mergeCell ref="F104:J109"/>
    <mergeCell ref="C105:E105"/>
    <mergeCell ref="C106:E106"/>
    <mergeCell ref="A107:A109"/>
    <mergeCell ref="C107:E107"/>
    <mergeCell ref="A82:A85"/>
    <mergeCell ref="F82:F85"/>
    <mergeCell ref="A86:A91"/>
    <mergeCell ref="F86:F91"/>
    <mergeCell ref="A99:J99"/>
    <mergeCell ref="A100:J100"/>
    <mergeCell ref="A61:A64"/>
    <mergeCell ref="F61:F64"/>
    <mergeCell ref="A67:J67"/>
    <mergeCell ref="A68:E68"/>
    <mergeCell ref="F68:J68"/>
    <mergeCell ref="A78:A81"/>
    <mergeCell ref="F78:F81"/>
    <mergeCell ref="A40:J40"/>
    <mergeCell ref="A41:E41"/>
    <mergeCell ref="F41:J41"/>
    <mergeCell ref="A52:A56"/>
    <mergeCell ref="F52:F56"/>
    <mergeCell ref="A57:A60"/>
    <mergeCell ref="F57:F60"/>
    <mergeCell ref="A1:J1"/>
    <mergeCell ref="A2:J2"/>
    <mergeCell ref="A3:E3"/>
    <mergeCell ref="F3:J3"/>
    <mergeCell ref="A22:J22"/>
    <mergeCell ref="A23:E23"/>
    <mergeCell ref="F23:J23"/>
  </mergeCells>
  <phoneticPr fontId="2" type="noConversion"/>
  <printOptions horizontalCentered="1"/>
  <pageMargins left="0" right="0" top="0.19685039370078741" bottom="0.59055118110236227" header="0" footer="0"/>
  <pageSetup paperSize="9" scale="95" orientation="portrait" r:id="rId1"/>
  <headerFooter alignWithMargins="0">
    <oddFooter>&amp;C&amp;10&amp;P/&amp;N&amp;R&amp;10&amp;A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V6"/>
  <sheetViews>
    <sheetView workbookViewId="0">
      <selection activeCell="AZ6" sqref="AZ6"/>
    </sheetView>
  </sheetViews>
  <sheetFormatPr defaultRowHeight="16.5" x14ac:dyDescent="0.25"/>
  <sheetData>
    <row r="1" spans="1:256" x14ac:dyDescent="0.25">
      <c r="A1" t="e">
        <f>IF(#REF!,"AAAAAC/v9wA=",0)</f>
        <v>#REF!</v>
      </c>
      <c r="B1" t="e">
        <f>AND(#REF!,"AAAAAC/v9wE=")</f>
        <v>#REF!</v>
      </c>
      <c r="C1" t="e">
        <f>AND(#REF!,"AAAAAC/v9wI=")</f>
        <v>#REF!</v>
      </c>
      <c r="D1" t="e">
        <f>AND(#REF!,"AAAAAC/v9wM=")</f>
        <v>#REF!</v>
      </c>
      <c r="E1" t="e">
        <f>AND(#REF!,"AAAAAC/v9wQ=")</f>
        <v>#REF!</v>
      </c>
      <c r="F1" t="e">
        <f>AND(#REF!,"AAAAAC/v9wU=")</f>
        <v>#REF!</v>
      </c>
      <c r="G1" t="e">
        <f>AND(#REF!,"AAAAAC/v9wY=")</f>
        <v>#REF!</v>
      </c>
      <c r="H1" t="e">
        <f>AND(#REF!,"AAAAAC/v9wc=")</f>
        <v>#REF!</v>
      </c>
      <c r="I1" t="e">
        <f>AND(#REF!,"AAAAAC/v9wg=")</f>
        <v>#REF!</v>
      </c>
      <c r="J1" t="e">
        <f>AND(#REF!,"AAAAAC/v9wk=")</f>
        <v>#REF!</v>
      </c>
      <c r="K1" t="e">
        <f>AND(#REF!,"AAAAAC/v9wo=")</f>
        <v>#REF!</v>
      </c>
      <c r="L1" t="e">
        <f>AND(#REF!,"AAAAAC/v9ws=")</f>
        <v>#REF!</v>
      </c>
      <c r="M1" t="e">
        <f>IF(#REF!,"AAAAAC/v9ww=",0)</f>
        <v>#REF!</v>
      </c>
      <c r="N1" t="e">
        <f>AND(#REF!,"AAAAAC/v9w0=")</f>
        <v>#REF!</v>
      </c>
      <c r="O1" t="e">
        <f>AND(#REF!,"AAAAAC/v9w4=")</f>
        <v>#REF!</v>
      </c>
      <c r="P1" t="e">
        <f>AND(#REF!,"AAAAAC/v9w8=")</f>
        <v>#REF!</v>
      </c>
      <c r="Q1" t="e">
        <f>AND(#REF!,"AAAAAC/v9xA=")</f>
        <v>#REF!</v>
      </c>
      <c r="R1" t="e">
        <f>AND(#REF!,"AAAAAC/v9xE=")</f>
        <v>#REF!</v>
      </c>
      <c r="S1" t="e">
        <f>AND(#REF!,"AAAAAC/v9xI=")</f>
        <v>#REF!</v>
      </c>
      <c r="T1" t="e">
        <f>AND(#REF!,"AAAAAC/v9xM=")</f>
        <v>#REF!</v>
      </c>
      <c r="U1" t="e">
        <f>AND(#REF!,"AAAAAC/v9xQ=")</f>
        <v>#REF!</v>
      </c>
      <c r="V1" t="e">
        <f>AND(#REF!,"AAAAAC/v9xU=")</f>
        <v>#REF!</v>
      </c>
      <c r="W1" t="e">
        <f>AND(#REF!,"AAAAAC/v9xY=")</f>
        <v>#REF!</v>
      </c>
      <c r="X1" t="e">
        <f>AND(#REF!,"AAAAAC/v9xc=")</f>
        <v>#REF!</v>
      </c>
      <c r="Y1" t="e">
        <f>IF(#REF!,"AAAAAC/v9xg=",0)</f>
        <v>#REF!</v>
      </c>
      <c r="Z1" t="e">
        <f>AND(#REF!,"AAAAAC/v9xk=")</f>
        <v>#REF!</v>
      </c>
      <c r="AA1" t="e">
        <f>AND(#REF!,"AAAAAC/v9xo=")</f>
        <v>#REF!</v>
      </c>
      <c r="AB1" t="e">
        <f>AND(#REF!,"AAAAAC/v9xs=")</f>
        <v>#REF!</v>
      </c>
      <c r="AC1" t="e">
        <f>AND(#REF!,"AAAAAC/v9xw=")</f>
        <v>#REF!</v>
      </c>
      <c r="AD1" t="e">
        <f>AND(#REF!,"AAAAAC/v9x0=")</f>
        <v>#REF!</v>
      </c>
      <c r="AE1" t="e">
        <f>AND(#REF!,"AAAAAC/v9x4=")</f>
        <v>#REF!</v>
      </c>
      <c r="AF1" t="e">
        <f>AND(#REF!,"AAAAAC/v9x8=")</f>
        <v>#REF!</v>
      </c>
      <c r="AG1" t="e">
        <f>AND(#REF!,"AAAAAC/v9yA=")</f>
        <v>#REF!</v>
      </c>
      <c r="AH1" t="e">
        <f>AND(#REF!,"AAAAAC/v9yE=")</f>
        <v>#REF!</v>
      </c>
      <c r="AI1" t="e">
        <f>AND(#REF!,"AAAAAC/v9yI=")</f>
        <v>#REF!</v>
      </c>
      <c r="AJ1" t="e">
        <f>AND(#REF!,"AAAAAC/v9yM=")</f>
        <v>#REF!</v>
      </c>
      <c r="AK1" t="e">
        <f>IF(#REF!,"AAAAAC/v9yQ=",0)</f>
        <v>#REF!</v>
      </c>
      <c r="AL1" t="e">
        <f>AND(#REF!,"AAAAAC/v9yU=")</f>
        <v>#REF!</v>
      </c>
      <c r="AM1" t="e">
        <f>AND(#REF!,"AAAAAC/v9yY=")</f>
        <v>#REF!</v>
      </c>
      <c r="AN1" t="e">
        <f>AND(#REF!,"AAAAAC/v9yc=")</f>
        <v>#REF!</v>
      </c>
      <c r="AO1" t="e">
        <f>AND(#REF!,"AAAAAC/v9yg=")</f>
        <v>#REF!</v>
      </c>
      <c r="AP1" t="e">
        <f>AND(#REF!,"AAAAAC/v9yk=")</f>
        <v>#REF!</v>
      </c>
      <c r="AQ1" t="e">
        <f>AND(#REF!,"AAAAAC/v9yo=")</f>
        <v>#REF!</v>
      </c>
      <c r="AR1" t="e">
        <f>AND(#REF!,"AAAAAC/v9ys=")</f>
        <v>#REF!</v>
      </c>
      <c r="AS1" t="e">
        <f>AND(#REF!,"AAAAAC/v9yw=")</f>
        <v>#REF!</v>
      </c>
      <c r="AT1" t="e">
        <f>AND(#REF!,"AAAAAC/v9y0=")</f>
        <v>#REF!</v>
      </c>
      <c r="AU1" t="e">
        <f>AND(#REF!,"AAAAAC/v9y4=")</f>
        <v>#REF!</v>
      </c>
      <c r="AV1" t="e">
        <f>AND(#REF!,"AAAAAC/v9y8=")</f>
        <v>#REF!</v>
      </c>
      <c r="AW1" t="e">
        <f>IF(#REF!,"AAAAAC/v9zA=",0)</f>
        <v>#REF!</v>
      </c>
      <c r="AX1" t="e">
        <f>AND(#REF!,"AAAAAC/v9zE=")</f>
        <v>#REF!</v>
      </c>
      <c r="AY1" t="e">
        <f>AND(#REF!,"AAAAAC/v9zI=")</f>
        <v>#REF!</v>
      </c>
      <c r="AZ1" t="e">
        <f>AND(#REF!,"AAAAAC/v9zM=")</f>
        <v>#REF!</v>
      </c>
      <c r="BA1" t="e">
        <f>AND(#REF!,"AAAAAC/v9zQ=")</f>
        <v>#REF!</v>
      </c>
      <c r="BB1" t="e">
        <f>AND(#REF!,"AAAAAC/v9zU=")</f>
        <v>#REF!</v>
      </c>
      <c r="BC1" t="e">
        <f>AND(#REF!,"AAAAAC/v9zY=")</f>
        <v>#REF!</v>
      </c>
      <c r="BD1" t="e">
        <f>AND(#REF!,"AAAAAC/v9zc=")</f>
        <v>#REF!</v>
      </c>
      <c r="BE1" t="e">
        <f>AND(#REF!,"AAAAAC/v9zg=")</f>
        <v>#REF!</v>
      </c>
      <c r="BF1" t="e">
        <f>AND(#REF!,"AAAAAC/v9zk=")</f>
        <v>#REF!</v>
      </c>
      <c r="BG1" t="e">
        <f>AND(#REF!,"AAAAAC/v9zo=")</f>
        <v>#REF!</v>
      </c>
      <c r="BH1" t="e">
        <f>AND(#REF!,"AAAAAC/v9zs=")</f>
        <v>#REF!</v>
      </c>
      <c r="BI1" t="e">
        <f>IF(#REF!,"AAAAAC/v9zw=",0)</f>
        <v>#REF!</v>
      </c>
      <c r="BJ1" t="e">
        <f>AND(#REF!,"AAAAAC/v9z0=")</f>
        <v>#REF!</v>
      </c>
      <c r="BK1" t="e">
        <f>AND(#REF!,"AAAAAC/v9z4=")</f>
        <v>#REF!</v>
      </c>
      <c r="BL1" t="e">
        <f>AND(#REF!,"AAAAAC/v9z8=")</f>
        <v>#REF!</v>
      </c>
      <c r="BM1" t="e">
        <f>AND(#REF!,"AAAAAC/v90A=")</f>
        <v>#REF!</v>
      </c>
      <c r="BN1" t="e">
        <f>AND(#REF!,"AAAAAC/v90E=")</f>
        <v>#REF!</v>
      </c>
      <c r="BO1" t="e">
        <f>AND(#REF!,"AAAAAC/v90I=")</f>
        <v>#REF!</v>
      </c>
      <c r="BP1" t="e">
        <f>AND(#REF!,"AAAAAC/v90M=")</f>
        <v>#REF!</v>
      </c>
      <c r="BQ1" t="e">
        <f>AND(#REF!,"AAAAAC/v90Q=")</f>
        <v>#REF!</v>
      </c>
      <c r="BR1" t="e">
        <f>AND(#REF!,"AAAAAC/v90U=")</f>
        <v>#REF!</v>
      </c>
      <c r="BS1" t="e">
        <f>AND(#REF!,"AAAAAC/v90Y=")</f>
        <v>#REF!</v>
      </c>
      <c r="BT1" t="e">
        <f>AND(#REF!,"AAAAAC/v90c=")</f>
        <v>#REF!</v>
      </c>
      <c r="BU1" t="e">
        <f>IF(#REF!,"AAAAAC/v90g=",0)</f>
        <v>#REF!</v>
      </c>
      <c r="BV1" t="e">
        <f>AND(#REF!,"AAAAAC/v90k=")</f>
        <v>#REF!</v>
      </c>
      <c r="BW1" t="e">
        <f>AND(#REF!,"AAAAAC/v90o=")</f>
        <v>#REF!</v>
      </c>
      <c r="BX1" t="e">
        <f>AND(#REF!,"AAAAAC/v90s=")</f>
        <v>#REF!</v>
      </c>
      <c r="BY1" t="e">
        <f>AND(#REF!,"AAAAAC/v90w=")</f>
        <v>#REF!</v>
      </c>
      <c r="BZ1" t="e">
        <f>AND(#REF!,"AAAAAC/v900=")</f>
        <v>#REF!</v>
      </c>
      <c r="CA1" t="e">
        <f>AND(#REF!,"AAAAAC/v904=")</f>
        <v>#REF!</v>
      </c>
      <c r="CB1" t="e">
        <f>AND(#REF!,"AAAAAC/v908=")</f>
        <v>#REF!</v>
      </c>
      <c r="CC1" t="e">
        <f>AND(#REF!,"AAAAAC/v91A=")</f>
        <v>#REF!</v>
      </c>
      <c r="CD1" t="e">
        <f>AND(#REF!,"AAAAAC/v91E=")</f>
        <v>#REF!</v>
      </c>
      <c r="CE1" t="e">
        <f>AND(#REF!,"AAAAAC/v91I=")</f>
        <v>#REF!</v>
      </c>
      <c r="CF1" t="e">
        <f>AND(#REF!,"AAAAAC/v91M=")</f>
        <v>#REF!</v>
      </c>
      <c r="CG1" t="e">
        <f>IF(#REF!,"AAAAAC/v91Q=",0)</f>
        <v>#REF!</v>
      </c>
      <c r="CH1" t="e">
        <f>AND(#REF!,"AAAAAC/v91U=")</f>
        <v>#REF!</v>
      </c>
      <c r="CI1" t="e">
        <f>AND(#REF!,"AAAAAC/v91Y=")</f>
        <v>#REF!</v>
      </c>
      <c r="CJ1" t="e">
        <f>AND(#REF!,"AAAAAC/v91c=")</f>
        <v>#REF!</v>
      </c>
      <c r="CK1" t="e">
        <f>AND(#REF!,"AAAAAC/v91g=")</f>
        <v>#REF!</v>
      </c>
      <c r="CL1" t="e">
        <f>AND(#REF!,"AAAAAC/v91k=")</f>
        <v>#REF!</v>
      </c>
      <c r="CM1" t="e">
        <f>AND(#REF!,"AAAAAC/v91o=")</f>
        <v>#REF!</v>
      </c>
      <c r="CN1" t="e">
        <f>AND(#REF!,"AAAAAC/v91s=")</f>
        <v>#REF!</v>
      </c>
      <c r="CO1" t="e">
        <f>AND(#REF!,"AAAAAC/v91w=")</f>
        <v>#REF!</v>
      </c>
      <c r="CP1" t="e">
        <f>AND(#REF!,"AAAAAC/v910=")</f>
        <v>#REF!</v>
      </c>
      <c r="CQ1" t="e">
        <f>AND(#REF!,"AAAAAC/v914=")</f>
        <v>#REF!</v>
      </c>
      <c r="CR1" t="e">
        <f>AND(#REF!,"AAAAAC/v918=")</f>
        <v>#REF!</v>
      </c>
      <c r="CS1" t="e">
        <f>IF(#REF!,"AAAAAC/v92A=",0)</f>
        <v>#REF!</v>
      </c>
      <c r="CT1" t="e">
        <f>AND(#REF!,"AAAAAC/v92E=")</f>
        <v>#REF!</v>
      </c>
      <c r="CU1" t="e">
        <f>AND(#REF!,"AAAAAC/v92I=")</f>
        <v>#REF!</v>
      </c>
      <c r="CV1" t="e">
        <f>AND(#REF!,"AAAAAC/v92M=")</f>
        <v>#REF!</v>
      </c>
      <c r="CW1" t="e">
        <f>AND(#REF!,"AAAAAC/v92Q=")</f>
        <v>#REF!</v>
      </c>
      <c r="CX1" t="e">
        <f>AND(#REF!,"AAAAAC/v92U=")</f>
        <v>#REF!</v>
      </c>
      <c r="CY1" t="e">
        <f>AND(#REF!,"AAAAAC/v92Y=")</f>
        <v>#REF!</v>
      </c>
      <c r="CZ1" t="e">
        <f>AND(#REF!,"AAAAAC/v92c=")</f>
        <v>#REF!</v>
      </c>
      <c r="DA1" t="e">
        <f>AND(#REF!,"AAAAAC/v92g=")</f>
        <v>#REF!</v>
      </c>
      <c r="DB1" t="e">
        <f>AND(#REF!,"AAAAAC/v92k=")</f>
        <v>#REF!</v>
      </c>
      <c r="DC1" t="e">
        <f>AND(#REF!,"AAAAAC/v92o=")</f>
        <v>#REF!</v>
      </c>
      <c r="DD1" t="e">
        <f>AND(#REF!,"AAAAAC/v92s=")</f>
        <v>#REF!</v>
      </c>
      <c r="DE1" t="e">
        <f>IF(#REF!,"AAAAAC/v92w=",0)</f>
        <v>#REF!</v>
      </c>
      <c r="DF1" t="e">
        <f>AND(#REF!,"AAAAAC/v920=")</f>
        <v>#REF!</v>
      </c>
      <c r="DG1" t="e">
        <f>AND(#REF!,"AAAAAC/v924=")</f>
        <v>#REF!</v>
      </c>
      <c r="DH1" t="e">
        <f>AND(#REF!,"AAAAAC/v928=")</f>
        <v>#REF!</v>
      </c>
      <c r="DI1" t="e">
        <f>AND(#REF!,"AAAAAC/v93A=")</f>
        <v>#REF!</v>
      </c>
      <c r="DJ1" t="e">
        <f>AND(#REF!,"AAAAAC/v93E=")</f>
        <v>#REF!</v>
      </c>
      <c r="DK1" t="e">
        <f>AND(#REF!,"AAAAAC/v93I=")</f>
        <v>#REF!</v>
      </c>
      <c r="DL1" t="e">
        <f>AND(#REF!,"AAAAAC/v93M=")</f>
        <v>#REF!</v>
      </c>
      <c r="DM1" t="e">
        <f>AND(#REF!,"AAAAAC/v93Q=")</f>
        <v>#REF!</v>
      </c>
      <c r="DN1" t="e">
        <f>AND(#REF!,"AAAAAC/v93U=")</f>
        <v>#REF!</v>
      </c>
      <c r="DO1" t="e">
        <f>AND(#REF!,"AAAAAC/v93Y=")</f>
        <v>#REF!</v>
      </c>
      <c r="DP1" t="e">
        <f>AND(#REF!,"AAAAAC/v93c=")</f>
        <v>#REF!</v>
      </c>
      <c r="DQ1" t="e">
        <f>IF(#REF!,"AAAAAC/v93g=",0)</f>
        <v>#REF!</v>
      </c>
      <c r="DR1" t="e">
        <f>AND(#REF!,"AAAAAC/v93k=")</f>
        <v>#REF!</v>
      </c>
      <c r="DS1" t="e">
        <f>AND(#REF!,"AAAAAC/v93o=")</f>
        <v>#REF!</v>
      </c>
      <c r="DT1" t="e">
        <f>AND(#REF!,"AAAAAC/v93s=")</f>
        <v>#REF!</v>
      </c>
      <c r="DU1" t="e">
        <f>AND(#REF!,"AAAAAC/v93w=")</f>
        <v>#REF!</v>
      </c>
      <c r="DV1" t="e">
        <f>AND(#REF!,"AAAAAC/v930=")</f>
        <v>#REF!</v>
      </c>
      <c r="DW1" t="e">
        <f>AND(#REF!,"AAAAAC/v934=")</f>
        <v>#REF!</v>
      </c>
      <c r="DX1" t="e">
        <f>AND(#REF!,"AAAAAC/v938=")</f>
        <v>#REF!</v>
      </c>
      <c r="DY1" t="e">
        <f>AND(#REF!,"AAAAAC/v94A=")</f>
        <v>#REF!</v>
      </c>
      <c r="DZ1" t="e">
        <f>AND(#REF!,"AAAAAC/v94E=")</f>
        <v>#REF!</v>
      </c>
      <c r="EA1" t="e">
        <f>AND(#REF!,"AAAAAC/v94I=")</f>
        <v>#REF!</v>
      </c>
      <c r="EB1" t="e">
        <f>AND(#REF!,"AAAAAC/v94M=")</f>
        <v>#REF!</v>
      </c>
      <c r="EC1" t="e">
        <f>IF(#REF!,"AAAAAC/v94Q=",0)</f>
        <v>#REF!</v>
      </c>
      <c r="ED1" t="e">
        <f>AND(#REF!,"AAAAAC/v94U=")</f>
        <v>#REF!</v>
      </c>
      <c r="EE1" t="e">
        <f>AND(#REF!,"AAAAAC/v94Y=")</f>
        <v>#REF!</v>
      </c>
      <c r="EF1" t="e">
        <f>AND(#REF!,"AAAAAC/v94c=")</f>
        <v>#REF!</v>
      </c>
      <c r="EG1" t="e">
        <f>AND(#REF!,"AAAAAC/v94g=")</f>
        <v>#REF!</v>
      </c>
      <c r="EH1" t="e">
        <f>AND(#REF!,"AAAAAC/v94k=")</f>
        <v>#REF!</v>
      </c>
      <c r="EI1" t="e">
        <f>AND(#REF!,"AAAAAC/v94o=")</f>
        <v>#REF!</v>
      </c>
      <c r="EJ1" t="e">
        <f>AND(#REF!,"AAAAAC/v94s=")</f>
        <v>#REF!</v>
      </c>
      <c r="EK1" t="e">
        <f>AND(#REF!,"AAAAAC/v94w=")</f>
        <v>#REF!</v>
      </c>
      <c r="EL1" t="e">
        <f>AND(#REF!,"AAAAAC/v940=")</f>
        <v>#REF!</v>
      </c>
      <c r="EM1" t="e">
        <f>AND(#REF!,"AAAAAC/v944=")</f>
        <v>#REF!</v>
      </c>
      <c r="EN1" t="e">
        <f>AND(#REF!,"AAAAAC/v948=")</f>
        <v>#REF!</v>
      </c>
      <c r="EO1" t="e">
        <f>IF(#REF!,"AAAAAC/v95A=",0)</f>
        <v>#REF!</v>
      </c>
      <c r="EP1" t="e">
        <f>AND(#REF!,"AAAAAC/v95E=")</f>
        <v>#REF!</v>
      </c>
      <c r="EQ1" t="e">
        <f>AND(#REF!,"AAAAAC/v95I=")</f>
        <v>#REF!</v>
      </c>
      <c r="ER1" t="e">
        <f>AND(#REF!,"AAAAAC/v95M=")</f>
        <v>#REF!</v>
      </c>
      <c r="ES1" t="e">
        <f>AND(#REF!,"AAAAAC/v95Q=")</f>
        <v>#REF!</v>
      </c>
      <c r="ET1" t="e">
        <f>AND(#REF!,"AAAAAC/v95U=")</f>
        <v>#REF!</v>
      </c>
      <c r="EU1" t="e">
        <f>AND(#REF!,"AAAAAC/v95Y=")</f>
        <v>#REF!</v>
      </c>
      <c r="EV1" t="e">
        <f>AND(#REF!,"AAAAAC/v95c=")</f>
        <v>#REF!</v>
      </c>
      <c r="EW1" t="e">
        <f>AND(#REF!,"AAAAAC/v95g=")</f>
        <v>#REF!</v>
      </c>
      <c r="EX1" t="e">
        <f>AND(#REF!,"AAAAAC/v95k=")</f>
        <v>#REF!</v>
      </c>
      <c r="EY1" t="e">
        <f>AND(#REF!,"AAAAAC/v95o=")</f>
        <v>#REF!</v>
      </c>
      <c r="EZ1" t="e">
        <f>AND(#REF!,"AAAAAC/v95s=")</f>
        <v>#REF!</v>
      </c>
      <c r="FA1" t="e">
        <f>IF(#REF!,"AAAAAC/v95w=",0)</f>
        <v>#REF!</v>
      </c>
      <c r="FB1" t="e">
        <f>AND(#REF!,"AAAAAC/v950=")</f>
        <v>#REF!</v>
      </c>
      <c r="FC1" t="e">
        <f>AND(#REF!,"AAAAAC/v954=")</f>
        <v>#REF!</v>
      </c>
      <c r="FD1" t="e">
        <f>AND(#REF!,"AAAAAC/v958=")</f>
        <v>#REF!</v>
      </c>
      <c r="FE1" t="e">
        <f>AND(#REF!,"AAAAAC/v96A=")</f>
        <v>#REF!</v>
      </c>
      <c r="FF1" t="e">
        <f>AND(#REF!,"AAAAAC/v96E=")</f>
        <v>#REF!</v>
      </c>
      <c r="FG1" t="e">
        <f>AND(#REF!,"AAAAAC/v96I=")</f>
        <v>#REF!</v>
      </c>
      <c r="FH1" t="e">
        <f>AND(#REF!,"AAAAAC/v96M=")</f>
        <v>#REF!</v>
      </c>
      <c r="FI1" t="e">
        <f>AND(#REF!,"AAAAAC/v96Q=")</f>
        <v>#REF!</v>
      </c>
      <c r="FJ1" t="e">
        <f>AND(#REF!,"AAAAAC/v96U=")</f>
        <v>#REF!</v>
      </c>
      <c r="FK1" t="e">
        <f>AND(#REF!,"AAAAAC/v96Y=")</f>
        <v>#REF!</v>
      </c>
      <c r="FL1" t="e">
        <f>AND(#REF!,"AAAAAC/v96c=")</f>
        <v>#REF!</v>
      </c>
      <c r="FM1" t="e">
        <f>IF(#REF!,"AAAAAC/v96g=",0)</f>
        <v>#REF!</v>
      </c>
      <c r="FN1" t="e">
        <f>AND(#REF!,"AAAAAC/v96k=")</f>
        <v>#REF!</v>
      </c>
      <c r="FO1" t="e">
        <f>AND(#REF!,"AAAAAC/v96o=")</f>
        <v>#REF!</v>
      </c>
      <c r="FP1" t="e">
        <f>AND(#REF!,"AAAAAC/v96s=")</f>
        <v>#REF!</v>
      </c>
      <c r="FQ1" t="e">
        <f>AND(#REF!,"AAAAAC/v96w=")</f>
        <v>#REF!</v>
      </c>
      <c r="FR1" t="e">
        <f>AND(#REF!,"AAAAAC/v960=")</f>
        <v>#REF!</v>
      </c>
      <c r="FS1" t="e">
        <f>AND(#REF!,"AAAAAC/v964=")</f>
        <v>#REF!</v>
      </c>
      <c r="FT1" t="e">
        <f>AND(#REF!,"AAAAAC/v968=")</f>
        <v>#REF!</v>
      </c>
      <c r="FU1" t="e">
        <f>AND(#REF!,"AAAAAC/v97A=")</f>
        <v>#REF!</v>
      </c>
      <c r="FV1" t="e">
        <f>AND(#REF!,"AAAAAC/v97E=")</f>
        <v>#REF!</v>
      </c>
      <c r="FW1" t="e">
        <f>AND(#REF!,"AAAAAC/v97I=")</f>
        <v>#REF!</v>
      </c>
      <c r="FX1" t="e">
        <f>AND(#REF!,"AAAAAC/v97M=")</f>
        <v>#REF!</v>
      </c>
      <c r="FY1" t="e">
        <f>IF(#REF!,"AAAAAC/v97Q=",0)</f>
        <v>#REF!</v>
      </c>
      <c r="FZ1" t="e">
        <f>AND(#REF!,"AAAAAC/v97U=")</f>
        <v>#REF!</v>
      </c>
      <c r="GA1" t="e">
        <f>AND(#REF!,"AAAAAC/v97Y=")</f>
        <v>#REF!</v>
      </c>
      <c r="GB1" t="e">
        <f>AND(#REF!,"AAAAAC/v97c=")</f>
        <v>#REF!</v>
      </c>
      <c r="GC1" t="e">
        <f>AND(#REF!,"AAAAAC/v97g=")</f>
        <v>#REF!</v>
      </c>
      <c r="GD1" t="e">
        <f>AND(#REF!,"AAAAAC/v97k=")</f>
        <v>#REF!</v>
      </c>
      <c r="GE1" t="e">
        <f>AND(#REF!,"AAAAAC/v97o=")</f>
        <v>#REF!</v>
      </c>
      <c r="GF1" t="e">
        <f>AND(#REF!,"AAAAAC/v97s=")</f>
        <v>#REF!</v>
      </c>
      <c r="GG1" t="e">
        <f>AND(#REF!,"AAAAAC/v97w=")</f>
        <v>#REF!</v>
      </c>
      <c r="GH1" t="e">
        <f>AND(#REF!,"AAAAAC/v970=")</f>
        <v>#REF!</v>
      </c>
      <c r="GI1" t="e">
        <f>AND(#REF!,"AAAAAC/v974=")</f>
        <v>#REF!</v>
      </c>
      <c r="GJ1" t="e">
        <f>AND(#REF!,"AAAAAC/v978=")</f>
        <v>#REF!</v>
      </c>
      <c r="GK1" t="e">
        <f>IF(#REF!,"AAAAAC/v98A=",0)</f>
        <v>#REF!</v>
      </c>
      <c r="GL1" t="e">
        <f>AND(#REF!,"AAAAAC/v98E=")</f>
        <v>#REF!</v>
      </c>
      <c r="GM1" t="e">
        <f>AND(#REF!,"AAAAAC/v98I=")</f>
        <v>#REF!</v>
      </c>
      <c r="GN1" t="e">
        <f>AND(#REF!,"AAAAAC/v98M=")</f>
        <v>#REF!</v>
      </c>
      <c r="GO1" t="e">
        <f>AND(#REF!,"AAAAAC/v98Q=")</f>
        <v>#REF!</v>
      </c>
      <c r="GP1" t="e">
        <f>AND(#REF!,"AAAAAC/v98U=")</f>
        <v>#REF!</v>
      </c>
      <c r="GQ1" t="e">
        <f>AND(#REF!,"AAAAAC/v98Y=")</f>
        <v>#REF!</v>
      </c>
      <c r="GR1" t="e">
        <f>AND(#REF!,"AAAAAC/v98c=")</f>
        <v>#REF!</v>
      </c>
      <c r="GS1" t="e">
        <f>AND(#REF!,"AAAAAC/v98g=")</f>
        <v>#REF!</v>
      </c>
      <c r="GT1" t="e">
        <f>AND(#REF!,"AAAAAC/v98k=")</f>
        <v>#REF!</v>
      </c>
      <c r="GU1" t="e">
        <f>AND(#REF!,"AAAAAC/v98o=")</f>
        <v>#REF!</v>
      </c>
      <c r="GV1" t="e">
        <f>AND(#REF!,"AAAAAC/v98s=")</f>
        <v>#REF!</v>
      </c>
      <c r="GW1" t="e">
        <f>IF(#REF!,"AAAAAC/v98w=",0)</f>
        <v>#REF!</v>
      </c>
      <c r="GX1" t="e">
        <f>AND(#REF!,"AAAAAC/v980=")</f>
        <v>#REF!</v>
      </c>
      <c r="GY1" t="e">
        <f>AND(#REF!,"AAAAAC/v984=")</f>
        <v>#REF!</v>
      </c>
      <c r="GZ1" t="e">
        <f>AND(#REF!,"AAAAAC/v988=")</f>
        <v>#REF!</v>
      </c>
      <c r="HA1" t="e">
        <f>AND(#REF!,"AAAAAC/v99A=")</f>
        <v>#REF!</v>
      </c>
      <c r="HB1" t="e">
        <f>AND(#REF!,"AAAAAC/v99E=")</f>
        <v>#REF!</v>
      </c>
      <c r="HC1" t="e">
        <f>AND(#REF!,"AAAAAC/v99I=")</f>
        <v>#REF!</v>
      </c>
      <c r="HD1" t="e">
        <f>AND(#REF!,"AAAAAC/v99M=")</f>
        <v>#REF!</v>
      </c>
      <c r="HE1" t="e">
        <f>AND(#REF!,"AAAAAC/v99Q=")</f>
        <v>#REF!</v>
      </c>
      <c r="HF1" t="e">
        <f>AND(#REF!,"AAAAAC/v99U=")</f>
        <v>#REF!</v>
      </c>
      <c r="HG1" t="e">
        <f>AND(#REF!,"AAAAAC/v99Y=")</f>
        <v>#REF!</v>
      </c>
      <c r="HH1" t="e">
        <f>AND(#REF!,"AAAAAC/v99c=")</f>
        <v>#REF!</v>
      </c>
      <c r="HI1" t="e">
        <f>IF(#REF!,"AAAAAC/v99g=",0)</f>
        <v>#REF!</v>
      </c>
      <c r="HJ1" t="e">
        <f>AND(#REF!,"AAAAAC/v99k=")</f>
        <v>#REF!</v>
      </c>
      <c r="HK1" t="e">
        <f>AND(#REF!,"AAAAAC/v99o=")</f>
        <v>#REF!</v>
      </c>
      <c r="HL1" t="e">
        <f>AND(#REF!,"AAAAAC/v99s=")</f>
        <v>#REF!</v>
      </c>
      <c r="HM1" t="e">
        <f>AND(#REF!,"AAAAAC/v99w=")</f>
        <v>#REF!</v>
      </c>
      <c r="HN1" t="e">
        <f>AND(#REF!,"AAAAAC/v990=")</f>
        <v>#REF!</v>
      </c>
      <c r="HO1" t="e">
        <f>AND(#REF!,"AAAAAC/v994=")</f>
        <v>#REF!</v>
      </c>
      <c r="HP1" t="e">
        <f>AND(#REF!,"AAAAAC/v998=")</f>
        <v>#REF!</v>
      </c>
      <c r="HQ1" t="e">
        <f>AND(#REF!,"AAAAAC/v9+A=")</f>
        <v>#REF!</v>
      </c>
      <c r="HR1" t="e">
        <f>AND(#REF!,"AAAAAC/v9+E=")</f>
        <v>#REF!</v>
      </c>
      <c r="HS1" t="e">
        <f>AND(#REF!,"AAAAAC/v9+I=")</f>
        <v>#REF!</v>
      </c>
      <c r="HT1" t="e">
        <f>AND(#REF!,"AAAAAC/v9+M=")</f>
        <v>#REF!</v>
      </c>
      <c r="HU1" t="e">
        <f>IF(#REF!,"AAAAAC/v9+Q=",0)</f>
        <v>#REF!</v>
      </c>
      <c r="HV1" t="e">
        <f>AND(#REF!,"AAAAAC/v9+U=")</f>
        <v>#REF!</v>
      </c>
      <c r="HW1" t="e">
        <f>AND(#REF!,"AAAAAC/v9+Y=")</f>
        <v>#REF!</v>
      </c>
      <c r="HX1" t="e">
        <f>AND(#REF!,"AAAAAC/v9+c=")</f>
        <v>#REF!</v>
      </c>
      <c r="HY1" t="e">
        <f>AND(#REF!,"AAAAAC/v9+g=")</f>
        <v>#REF!</v>
      </c>
      <c r="HZ1" t="e">
        <f>AND(#REF!,"AAAAAC/v9+k=")</f>
        <v>#REF!</v>
      </c>
      <c r="IA1" t="e">
        <f>AND(#REF!,"AAAAAC/v9+o=")</f>
        <v>#REF!</v>
      </c>
      <c r="IB1" t="e">
        <f>AND(#REF!,"AAAAAC/v9+s=")</f>
        <v>#REF!</v>
      </c>
      <c r="IC1" t="e">
        <f>AND(#REF!,"AAAAAC/v9+w=")</f>
        <v>#REF!</v>
      </c>
      <c r="ID1" t="e">
        <f>AND(#REF!,"AAAAAC/v9+0=")</f>
        <v>#REF!</v>
      </c>
      <c r="IE1" t="e">
        <f>AND(#REF!,"AAAAAC/v9+4=")</f>
        <v>#REF!</v>
      </c>
      <c r="IF1" t="e">
        <f>AND(#REF!,"AAAAAC/v9+8=")</f>
        <v>#REF!</v>
      </c>
      <c r="IG1" t="e">
        <f>IF(#REF!,"AAAAAC/v9/A=",0)</f>
        <v>#REF!</v>
      </c>
      <c r="IH1" t="e">
        <f>AND(#REF!,"AAAAAC/v9/E=")</f>
        <v>#REF!</v>
      </c>
      <c r="II1" t="e">
        <f>AND(#REF!,"AAAAAC/v9/I=")</f>
        <v>#REF!</v>
      </c>
      <c r="IJ1" t="e">
        <f>AND(#REF!,"AAAAAC/v9/M=")</f>
        <v>#REF!</v>
      </c>
      <c r="IK1" t="e">
        <f>AND(#REF!,"AAAAAC/v9/Q=")</f>
        <v>#REF!</v>
      </c>
      <c r="IL1" t="e">
        <f>AND(#REF!,"AAAAAC/v9/U=")</f>
        <v>#REF!</v>
      </c>
      <c r="IM1" t="e">
        <f>AND(#REF!,"AAAAAC/v9/Y=")</f>
        <v>#REF!</v>
      </c>
      <c r="IN1" t="e">
        <f>AND(#REF!,"AAAAAC/v9/c=")</f>
        <v>#REF!</v>
      </c>
      <c r="IO1" t="e">
        <f>AND(#REF!,"AAAAAC/v9/g=")</f>
        <v>#REF!</v>
      </c>
      <c r="IP1" t="e">
        <f>AND(#REF!,"AAAAAC/v9/k=")</f>
        <v>#REF!</v>
      </c>
      <c r="IQ1" t="e">
        <f>AND(#REF!,"AAAAAC/v9/o=")</f>
        <v>#REF!</v>
      </c>
      <c r="IR1" t="e">
        <f>AND(#REF!,"AAAAAC/v9/s=")</f>
        <v>#REF!</v>
      </c>
      <c r="IS1" t="e">
        <f>IF(#REF!,"AAAAAC/v9/w=",0)</f>
        <v>#REF!</v>
      </c>
      <c r="IT1" t="e">
        <f>AND(#REF!,"AAAAAC/v9/0=")</f>
        <v>#REF!</v>
      </c>
      <c r="IU1" t="e">
        <f>AND(#REF!,"AAAAAC/v9/4=")</f>
        <v>#REF!</v>
      </c>
      <c r="IV1" t="e">
        <f>AND(#REF!,"AAAAAC/v9/8=")</f>
        <v>#REF!</v>
      </c>
    </row>
    <row r="2" spans="1:256" x14ac:dyDescent="0.25">
      <c r="A2" t="e">
        <f>AND(#REF!,"AAAAAFuT/QA=")</f>
        <v>#REF!</v>
      </c>
      <c r="B2" t="e">
        <f>AND(#REF!,"AAAAAFuT/QE=")</f>
        <v>#REF!</v>
      </c>
      <c r="C2" t="e">
        <f>AND(#REF!,"AAAAAFuT/QI=")</f>
        <v>#REF!</v>
      </c>
      <c r="D2" t="e">
        <f>AND(#REF!,"AAAAAFuT/QM=")</f>
        <v>#REF!</v>
      </c>
      <c r="E2" t="e">
        <f>AND(#REF!,"AAAAAFuT/QQ=")</f>
        <v>#REF!</v>
      </c>
      <c r="F2" t="e">
        <f>AND(#REF!,"AAAAAFuT/QU=")</f>
        <v>#REF!</v>
      </c>
      <c r="G2" t="e">
        <f>AND(#REF!,"AAAAAFuT/QY=")</f>
        <v>#REF!</v>
      </c>
      <c r="H2" t="e">
        <f>AND(#REF!,"AAAAAFuT/Qc=")</f>
        <v>#REF!</v>
      </c>
      <c r="I2" t="e">
        <f>IF(#REF!,"AAAAAFuT/Qg=",0)</f>
        <v>#REF!</v>
      </c>
      <c r="J2" t="e">
        <f>AND(#REF!,"AAAAAFuT/Qk=")</f>
        <v>#REF!</v>
      </c>
      <c r="K2" t="e">
        <f>AND(#REF!,"AAAAAFuT/Qo=")</f>
        <v>#REF!</v>
      </c>
      <c r="L2" t="e">
        <f>AND(#REF!,"AAAAAFuT/Qs=")</f>
        <v>#REF!</v>
      </c>
      <c r="M2" t="e">
        <f>AND(#REF!,"AAAAAFuT/Qw=")</f>
        <v>#REF!</v>
      </c>
      <c r="N2" t="e">
        <f>AND(#REF!,"AAAAAFuT/Q0=")</f>
        <v>#REF!</v>
      </c>
      <c r="O2" t="e">
        <f>AND(#REF!,"AAAAAFuT/Q4=")</f>
        <v>#REF!</v>
      </c>
      <c r="P2" t="e">
        <f>AND(#REF!,"AAAAAFuT/Q8=")</f>
        <v>#REF!</v>
      </c>
      <c r="Q2" t="e">
        <f>AND(#REF!,"AAAAAFuT/RA=")</f>
        <v>#REF!</v>
      </c>
      <c r="R2" t="e">
        <f>AND(#REF!,"AAAAAFuT/RE=")</f>
        <v>#REF!</v>
      </c>
      <c r="S2" t="e">
        <f>AND(#REF!,"AAAAAFuT/RI=")</f>
        <v>#REF!</v>
      </c>
      <c r="T2" t="e">
        <f>AND(#REF!,"AAAAAFuT/RM=")</f>
        <v>#REF!</v>
      </c>
      <c r="U2" t="e">
        <f>IF(#REF!,"AAAAAFuT/RQ=",0)</f>
        <v>#REF!</v>
      </c>
      <c r="V2" t="e">
        <f>AND(#REF!,"AAAAAFuT/RU=")</f>
        <v>#REF!</v>
      </c>
      <c r="W2" t="e">
        <f>AND(#REF!,"AAAAAFuT/RY=")</f>
        <v>#REF!</v>
      </c>
      <c r="X2" t="e">
        <f>AND(#REF!,"AAAAAFuT/Rc=")</f>
        <v>#REF!</v>
      </c>
      <c r="Y2" t="e">
        <f>AND(#REF!,"AAAAAFuT/Rg=")</f>
        <v>#REF!</v>
      </c>
      <c r="Z2" t="e">
        <f>AND(#REF!,"AAAAAFuT/Rk=")</f>
        <v>#REF!</v>
      </c>
      <c r="AA2" t="e">
        <f>AND(#REF!,"AAAAAFuT/Ro=")</f>
        <v>#REF!</v>
      </c>
      <c r="AB2" t="e">
        <f>AND(#REF!,"AAAAAFuT/Rs=")</f>
        <v>#REF!</v>
      </c>
      <c r="AC2" t="e">
        <f>AND(#REF!,"AAAAAFuT/Rw=")</f>
        <v>#REF!</v>
      </c>
      <c r="AD2" t="e">
        <f>AND(#REF!,"AAAAAFuT/R0=")</f>
        <v>#REF!</v>
      </c>
      <c r="AE2" t="e">
        <f>AND(#REF!,"AAAAAFuT/R4=")</f>
        <v>#REF!</v>
      </c>
      <c r="AF2" t="e">
        <f>AND(#REF!,"AAAAAFuT/R8=")</f>
        <v>#REF!</v>
      </c>
      <c r="AG2" t="e">
        <f>IF(#REF!,"AAAAAFuT/SA=",0)</f>
        <v>#REF!</v>
      </c>
      <c r="AH2" t="e">
        <f>AND(#REF!,"AAAAAFuT/SE=")</f>
        <v>#REF!</v>
      </c>
      <c r="AI2" t="e">
        <f>AND(#REF!,"AAAAAFuT/SI=")</f>
        <v>#REF!</v>
      </c>
      <c r="AJ2" t="e">
        <f>AND(#REF!,"AAAAAFuT/SM=")</f>
        <v>#REF!</v>
      </c>
      <c r="AK2" t="e">
        <f>AND(#REF!,"AAAAAFuT/SQ=")</f>
        <v>#REF!</v>
      </c>
      <c r="AL2" t="e">
        <f>AND(#REF!,"AAAAAFuT/SU=")</f>
        <v>#REF!</v>
      </c>
      <c r="AM2" t="e">
        <f>AND(#REF!,"AAAAAFuT/SY=")</f>
        <v>#REF!</v>
      </c>
      <c r="AN2" t="e">
        <f>AND(#REF!,"AAAAAFuT/Sc=")</f>
        <v>#REF!</v>
      </c>
      <c r="AO2" t="e">
        <f>AND(#REF!,"AAAAAFuT/Sg=")</f>
        <v>#REF!</v>
      </c>
      <c r="AP2" t="e">
        <f>AND(#REF!,"AAAAAFuT/Sk=")</f>
        <v>#REF!</v>
      </c>
      <c r="AQ2" t="e">
        <f>AND(#REF!,"AAAAAFuT/So=")</f>
        <v>#REF!</v>
      </c>
      <c r="AR2" t="e">
        <f>AND(#REF!,"AAAAAFuT/Ss=")</f>
        <v>#REF!</v>
      </c>
      <c r="AS2" t="e">
        <f>IF(#REF!,"AAAAAFuT/Sw=",0)</f>
        <v>#REF!</v>
      </c>
      <c r="AT2" t="e">
        <f>AND(#REF!,"AAAAAFuT/S0=")</f>
        <v>#REF!</v>
      </c>
      <c r="AU2" t="e">
        <f>AND(#REF!,"AAAAAFuT/S4=")</f>
        <v>#REF!</v>
      </c>
      <c r="AV2" t="e">
        <f>AND(#REF!,"AAAAAFuT/S8=")</f>
        <v>#REF!</v>
      </c>
      <c r="AW2" t="e">
        <f>AND(#REF!,"AAAAAFuT/TA=")</f>
        <v>#REF!</v>
      </c>
      <c r="AX2" t="e">
        <f>AND(#REF!,"AAAAAFuT/TE=")</f>
        <v>#REF!</v>
      </c>
      <c r="AY2" t="e">
        <f>AND(#REF!,"AAAAAFuT/TI=")</f>
        <v>#REF!</v>
      </c>
      <c r="AZ2" t="e">
        <f>AND(#REF!,"AAAAAFuT/TM=")</f>
        <v>#REF!</v>
      </c>
      <c r="BA2" t="e">
        <f>AND(#REF!,"AAAAAFuT/TQ=")</f>
        <v>#REF!</v>
      </c>
      <c r="BB2" t="e">
        <f>AND(#REF!,"AAAAAFuT/TU=")</f>
        <v>#REF!</v>
      </c>
      <c r="BC2" t="e">
        <f>AND(#REF!,"AAAAAFuT/TY=")</f>
        <v>#REF!</v>
      </c>
      <c r="BD2" t="e">
        <f>AND(#REF!,"AAAAAFuT/Tc=")</f>
        <v>#REF!</v>
      </c>
      <c r="BE2" t="e">
        <f>IF(#REF!,"AAAAAFuT/Tg=",0)</f>
        <v>#REF!</v>
      </c>
      <c r="BF2" t="e">
        <f>AND(#REF!,"AAAAAFuT/Tk=")</f>
        <v>#REF!</v>
      </c>
      <c r="BG2" t="e">
        <f>AND(#REF!,"AAAAAFuT/To=")</f>
        <v>#REF!</v>
      </c>
      <c r="BH2" t="e">
        <f>AND(#REF!,"AAAAAFuT/Ts=")</f>
        <v>#REF!</v>
      </c>
      <c r="BI2" t="e">
        <f>AND(#REF!,"AAAAAFuT/Tw=")</f>
        <v>#REF!</v>
      </c>
      <c r="BJ2" t="e">
        <f>AND(#REF!,"AAAAAFuT/T0=")</f>
        <v>#REF!</v>
      </c>
      <c r="BK2" t="e">
        <f>AND(#REF!,"AAAAAFuT/T4=")</f>
        <v>#REF!</v>
      </c>
      <c r="BL2" t="e">
        <f>AND(#REF!,"AAAAAFuT/T8=")</f>
        <v>#REF!</v>
      </c>
      <c r="BM2" t="e">
        <f>AND(#REF!,"AAAAAFuT/UA=")</f>
        <v>#REF!</v>
      </c>
      <c r="BN2" t="e">
        <f>AND(#REF!,"AAAAAFuT/UE=")</f>
        <v>#REF!</v>
      </c>
      <c r="BO2" t="e">
        <f>AND(#REF!,"AAAAAFuT/UI=")</f>
        <v>#REF!</v>
      </c>
      <c r="BP2" t="e">
        <f>AND(#REF!,"AAAAAFuT/UM=")</f>
        <v>#REF!</v>
      </c>
      <c r="BQ2" t="e">
        <f>IF(#REF!,"AAAAAFuT/UQ=",0)</f>
        <v>#REF!</v>
      </c>
      <c r="BR2" t="e">
        <f>AND(#REF!,"AAAAAFuT/UU=")</f>
        <v>#REF!</v>
      </c>
      <c r="BS2" t="e">
        <f>AND(#REF!,"AAAAAFuT/UY=")</f>
        <v>#REF!</v>
      </c>
      <c r="BT2" t="e">
        <f>AND(#REF!,"AAAAAFuT/Uc=")</f>
        <v>#REF!</v>
      </c>
      <c r="BU2" t="e">
        <f>AND(#REF!,"AAAAAFuT/Ug=")</f>
        <v>#REF!</v>
      </c>
      <c r="BV2" t="e">
        <f>AND(#REF!,"AAAAAFuT/Uk=")</f>
        <v>#REF!</v>
      </c>
      <c r="BW2" t="e">
        <f>AND(#REF!,"AAAAAFuT/Uo=")</f>
        <v>#REF!</v>
      </c>
      <c r="BX2" t="e">
        <f>AND(#REF!,"AAAAAFuT/Us=")</f>
        <v>#REF!</v>
      </c>
      <c r="BY2" t="e">
        <f>AND(#REF!,"AAAAAFuT/Uw=")</f>
        <v>#REF!</v>
      </c>
      <c r="BZ2" t="e">
        <f>AND(#REF!,"AAAAAFuT/U0=")</f>
        <v>#REF!</v>
      </c>
      <c r="CA2" t="e">
        <f>AND(#REF!,"AAAAAFuT/U4=")</f>
        <v>#REF!</v>
      </c>
      <c r="CB2" t="e">
        <f>AND(#REF!,"AAAAAFuT/U8=")</f>
        <v>#REF!</v>
      </c>
      <c r="CC2" t="e">
        <f>IF(#REF!,"AAAAAFuT/VA=",0)</f>
        <v>#REF!</v>
      </c>
      <c r="CD2" t="e">
        <f>AND(#REF!,"AAAAAFuT/VE=")</f>
        <v>#REF!</v>
      </c>
      <c r="CE2" t="e">
        <f>AND(#REF!,"AAAAAFuT/VI=")</f>
        <v>#REF!</v>
      </c>
      <c r="CF2" t="e">
        <f>AND(#REF!,"AAAAAFuT/VM=")</f>
        <v>#REF!</v>
      </c>
      <c r="CG2" t="e">
        <f>AND(#REF!,"AAAAAFuT/VQ=")</f>
        <v>#REF!</v>
      </c>
      <c r="CH2" t="e">
        <f>AND(#REF!,"AAAAAFuT/VU=")</f>
        <v>#REF!</v>
      </c>
      <c r="CI2" t="e">
        <f>AND(#REF!,"AAAAAFuT/VY=")</f>
        <v>#REF!</v>
      </c>
      <c r="CJ2" t="e">
        <f>AND(#REF!,"AAAAAFuT/Vc=")</f>
        <v>#REF!</v>
      </c>
      <c r="CK2" t="e">
        <f>AND(#REF!,"AAAAAFuT/Vg=")</f>
        <v>#REF!</v>
      </c>
      <c r="CL2" t="e">
        <f>AND(#REF!,"AAAAAFuT/Vk=")</f>
        <v>#REF!</v>
      </c>
      <c r="CM2" t="e">
        <f>AND(#REF!,"AAAAAFuT/Vo=")</f>
        <v>#REF!</v>
      </c>
      <c r="CN2" t="e">
        <f>AND(#REF!,"AAAAAFuT/Vs=")</f>
        <v>#REF!</v>
      </c>
      <c r="CO2" t="e">
        <f>IF(#REF!,"AAAAAFuT/Vw=",0)</f>
        <v>#REF!</v>
      </c>
      <c r="CP2" t="e">
        <f>AND(#REF!,"AAAAAFuT/V0=")</f>
        <v>#REF!</v>
      </c>
      <c r="CQ2" t="e">
        <f>AND(#REF!,"AAAAAFuT/V4=")</f>
        <v>#REF!</v>
      </c>
      <c r="CR2" t="e">
        <f>AND(#REF!,"AAAAAFuT/V8=")</f>
        <v>#REF!</v>
      </c>
      <c r="CS2" t="e">
        <f>AND(#REF!,"AAAAAFuT/WA=")</f>
        <v>#REF!</v>
      </c>
      <c r="CT2" t="e">
        <f>AND(#REF!,"AAAAAFuT/WE=")</f>
        <v>#REF!</v>
      </c>
      <c r="CU2" t="e">
        <f>AND(#REF!,"AAAAAFuT/WI=")</f>
        <v>#REF!</v>
      </c>
      <c r="CV2" t="e">
        <f>AND(#REF!,"AAAAAFuT/WM=")</f>
        <v>#REF!</v>
      </c>
      <c r="CW2" t="e">
        <f>AND(#REF!,"AAAAAFuT/WQ=")</f>
        <v>#REF!</v>
      </c>
      <c r="CX2" t="e">
        <f>AND(#REF!,"AAAAAFuT/WU=")</f>
        <v>#REF!</v>
      </c>
      <c r="CY2" t="e">
        <f>AND(#REF!,"AAAAAFuT/WY=")</f>
        <v>#REF!</v>
      </c>
      <c r="CZ2" t="e">
        <f>AND(#REF!,"AAAAAFuT/Wc=")</f>
        <v>#REF!</v>
      </c>
      <c r="DA2" t="e">
        <f>IF(#REF!,"AAAAAFuT/Wg=",0)</f>
        <v>#REF!</v>
      </c>
      <c r="DB2" t="e">
        <f>AND(#REF!,"AAAAAFuT/Wk=")</f>
        <v>#REF!</v>
      </c>
      <c r="DC2" t="e">
        <f>AND(#REF!,"AAAAAFuT/Wo=")</f>
        <v>#REF!</v>
      </c>
      <c r="DD2" t="e">
        <f>AND(#REF!,"AAAAAFuT/Ws=")</f>
        <v>#REF!</v>
      </c>
      <c r="DE2" t="e">
        <f>AND(#REF!,"AAAAAFuT/Ww=")</f>
        <v>#REF!</v>
      </c>
      <c r="DF2" t="e">
        <f>AND(#REF!,"AAAAAFuT/W0=")</f>
        <v>#REF!</v>
      </c>
      <c r="DG2" t="e">
        <f>AND(#REF!,"AAAAAFuT/W4=")</f>
        <v>#REF!</v>
      </c>
      <c r="DH2" t="e">
        <f>AND(#REF!,"AAAAAFuT/W8=")</f>
        <v>#REF!</v>
      </c>
      <c r="DI2" t="e">
        <f>AND(#REF!,"AAAAAFuT/XA=")</f>
        <v>#REF!</v>
      </c>
      <c r="DJ2" t="e">
        <f>AND(#REF!,"AAAAAFuT/XE=")</f>
        <v>#REF!</v>
      </c>
      <c r="DK2" t="e">
        <f>AND(#REF!,"AAAAAFuT/XI=")</f>
        <v>#REF!</v>
      </c>
      <c r="DL2" t="e">
        <f>AND(#REF!,"AAAAAFuT/XM=")</f>
        <v>#REF!</v>
      </c>
      <c r="DM2" t="e">
        <f>IF(#REF!,"AAAAAFuT/XQ=",0)</f>
        <v>#REF!</v>
      </c>
      <c r="DN2" t="e">
        <f>AND(#REF!,"AAAAAFuT/XU=")</f>
        <v>#REF!</v>
      </c>
      <c r="DO2" t="e">
        <f>AND(#REF!,"AAAAAFuT/XY=")</f>
        <v>#REF!</v>
      </c>
      <c r="DP2" t="e">
        <f>AND(#REF!,"AAAAAFuT/Xc=")</f>
        <v>#REF!</v>
      </c>
      <c r="DQ2" t="e">
        <f>AND(#REF!,"AAAAAFuT/Xg=")</f>
        <v>#REF!</v>
      </c>
      <c r="DR2" t="e">
        <f>AND(#REF!,"AAAAAFuT/Xk=")</f>
        <v>#REF!</v>
      </c>
      <c r="DS2" t="e">
        <f>AND(#REF!,"AAAAAFuT/Xo=")</f>
        <v>#REF!</v>
      </c>
      <c r="DT2" t="e">
        <f>AND(#REF!,"AAAAAFuT/Xs=")</f>
        <v>#REF!</v>
      </c>
      <c r="DU2" t="e">
        <f>AND(#REF!,"AAAAAFuT/Xw=")</f>
        <v>#REF!</v>
      </c>
      <c r="DV2" t="e">
        <f>AND(#REF!,"AAAAAFuT/X0=")</f>
        <v>#REF!</v>
      </c>
      <c r="DW2" t="e">
        <f>AND(#REF!,"AAAAAFuT/X4=")</f>
        <v>#REF!</v>
      </c>
      <c r="DX2" t="e">
        <f>AND(#REF!,"AAAAAFuT/X8=")</f>
        <v>#REF!</v>
      </c>
      <c r="DY2" t="e">
        <f>IF(#REF!,"AAAAAFuT/YA=",0)</f>
        <v>#REF!</v>
      </c>
      <c r="DZ2" t="e">
        <f>AND(#REF!,"AAAAAFuT/YE=")</f>
        <v>#REF!</v>
      </c>
      <c r="EA2" t="e">
        <f>AND(#REF!,"AAAAAFuT/YI=")</f>
        <v>#REF!</v>
      </c>
      <c r="EB2" t="e">
        <f>AND(#REF!,"AAAAAFuT/YM=")</f>
        <v>#REF!</v>
      </c>
      <c r="EC2" t="e">
        <f>AND(#REF!,"AAAAAFuT/YQ=")</f>
        <v>#REF!</v>
      </c>
      <c r="ED2" t="e">
        <f>AND(#REF!,"AAAAAFuT/YU=")</f>
        <v>#REF!</v>
      </c>
      <c r="EE2" t="e">
        <f>AND(#REF!,"AAAAAFuT/YY=")</f>
        <v>#REF!</v>
      </c>
      <c r="EF2" t="e">
        <f>AND(#REF!,"AAAAAFuT/Yc=")</f>
        <v>#REF!</v>
      </c>
      <c r="EG2" t="e">
        <f>AND(#REF!,"AAAAAFuT/Yg=")</f>
        <v>#REF!</v>
      </c>
      <c r="EH2" t="e">
        <f>AND(#REF!,"AAAAAFuT/Yk=")</f>
        <v>#REF!</v>
      </c>
      <c r="EI2" t="e">
        <f>AND(#REF!,"AAAAAFuT/Yo=")</f>
        <v>#REF!</v>
      </c>
      <c r="EJ2" t="e">
        <f>AND(#REF!,"AAAAAFuT/Ys=")</f>
        <v>#REF!</v>
      </c>
      <c r="EK2" t="e">
        <f>IF(#REF!,"AAAAAFuT/Yw=",0)</f>
        <v>#REF!</v>
      </c>
      <c r="EL2" t="e">
        <f>AND(#REF!,"AAAAAFuT/Y0=")</f>
        <v>#REF!</v>
      </c>
      <c r="EM2" t="e">
        <f>AND(#REF!,"AAAAAFuT/Y4=")</f>
        <v>#REF!</v>
      </c>
      <c r="EN2" t="e">
        <f>AND(#REF!,"AAAAAFuT/Y8=")</f>
        <v>#REF!</v>
      </c>
      <c r="EO2" t="e">
        <f>AND(#REF!,"AAAAAFuT/ZA=")</f>
        <v>#REF!</v>
      </c>
      <c r="EP2" t="e">
        <f>AND(#REF!,"AAAAAFuT/ZE=")</f>
        <v>#REF!</v>
      </c>
      <c r="EQ2" t="e">
        <f>AND(#REF!,"AAAAAFuT/ZI=")</f>
        <v>#REF!</v>
      </c>
      <c r="ER2" t="e">
        <f>AND(#REF!,"AAAAAFuT/ZM=")</f>
        <v>#REF!</v>
      </c>
      <c r="ES2" t="e">
        <f>AND(#REF!,"AAAAAFuT/ZQ=")</f>
        <v>#REF!</v>
      </c>
      <c r="ET2" t="e">
        <f>AND(#REF!,"AAAAAFuT/ZU=")</f>
        <v>#REF!</v>
      </c>
      <c r="EU2" t="e">
        <f>AND(#REF!,"AAAAAFuT/ZY=")</f>
        <v>#REF!</v>
      </c>
      <c r="EV2" t="e">
        <f>AND(#REF!,"AAAAAFuT/Zc=")</f>
        <v>#REF!</v>
      </c>
      <c r="EW2" t="e">
        <f>IF(#REF!,"AAAAAFuT/Zg=",0)</f>
        <v>#REF!</v>
      </c>
      <c r="EX2" t="e">
        <f>AND(#REF!,"AAAAAFuT/Zk=")</f>
        <v>#REF!</v>
      </c>
      <c r="EY2" t="e">
        <f>AND(#REF!,"AAAAAFuT/Zo=")</f>
        <v>#REF!</v>
      </c>
      <c r="EZ2" t="e">
        <f>AND(#REF!,"AAAAAFuT/Zs=")</f>
        <v>#REF!</v>
      </c>
      <c r="FA2" t="e">
        <f>AND(#REF!,"AAAAAFuT/Zw=")</f>
        <v>#REF!</v>
      </c>
      <c r="FB2" t="e">
        <f>AND(#REF!,"AAAAAFuT/Z0=")</f>
        <v>#REF!</v>
      </c>
      <c r="FC2" t="e">
        <f>AND(#REF!,"AAAAAFuT/Z4=")</f>
        <v>#REF!</v>
      </c>
      <c r="FD2" t="e">
        <f>AND(#REF!,"AAAAAFuT/Z8=")</f>
        <v>#REF!</v>
      </c>
      <c r="FE2" t="e">
        <f>AND(#REF!,"AAAAAFuT/aA=")</f>
        <v>#REF!</v>
      </c>
      <c r="FF2" t="e">
        <f>AND(#REF!,"AAAAAFuT/aE=")</f>
        <v>#REF!</v>
      </c>
      <c r="FG2" t="e">
        <f>AND(#REF!,"AAAAAFuT/aI=")</f>
        <v>#REF!</v>
      </c>
      <c r="FH2" t="e">
        <f>AND(#REF!,"AAAAAFuT/aM=")</f>
        <v>#REF!</v>
      </c>
      <c r="FI2" t="e">
        <f>IF(#REF!,"AAAAAFuT/aQ=",0)</f>
        <v>#REF!</v>
      </c>
      <c r="FJ2" t="e">
        <f>AND(#REF!,"AAAAAFuT/aU=")</f>
        <v>#REF!</v>
      </c>
      <c r="FK2" t="e">
        <f>AND(#REF!,"AAAAAFuT/aY=")</f>
        <v>#REF!</v>
      </c>
      <c r="FL2" t="e">
        <f>AND(#REF!,"AAAAAFuT/ac=")</f>
        <v>#REF!</v>
      </c>
      <c r="FM2" t="e">
        <f>AND(#REF!,"AAAAAFuT/ag=")</f>
        <v>#REF!</v>
      </c>
      <c r="FN2" t="e">
        <f>AND(#REF!,"AAAAAFuT/ak=")</f>
        <v>#REF!</v>
      </c>
      <c r="FO2" t="e">
        <f>AND(#REF!,"AAAAAFuT/ao=")</f>
        <v>#REF!</v>
      </c>
      <c r="FP2" t="e">
        <f>AND(#REF!,"AAAAAFuT/as=")</f>
        <v>#REF!</v>
      </c>
      <c r="FQ2" t="e">
        <f>AND(#REF!,"AAAAAFuT/aw=")</f>
        <v>#REF!</v>
      </c>
      <c r="FR2" t="e">
        <f>AND(#REF!,"AAAAAFuT/a0=")</f>
        <v>#REF!</v>
      </c>
      <c r="FS2" t="e">
        <f>AND(#REF!,"AAAAAFuT/a4=")</f>
        <v>#REF!</v>
      </c>
      <c r="FT2" t="e">
        <f>AND(#REF!,"AAAAAFuT/a8=")</f>
        <v>#REF!</v>
      </c>
      <c r="FU2" t="e">
        <f>IF(#REF!,"AAAAAFuT/bA=",0)</f>
        <v>#REF!</v>
      </c>
      <c r="FV2" t="e">
        <f>AND(#REF!,"AAAAAFuT/bE=")</f>
        <v>#REF!</v>
      </c>
      <c r="FW2" t="e">
        <f>AND(#REF!,"AAAAAFuT/bI=")</f>
        <v>#REF!</v>
      </c>
      <c r="FX2" t="e">
        <f>AND(#REF!,"AAAAAFuT/bM=")</f>
        <v>#REF!</v>
      </c>
      <c r="FY2" t="e">
        <f>AND(#REF!,"AAAAAFuT/bQ=")</f>
        <v>#REF!</v>
      </c>
      <c r="FZ2" t="e">
        <f>AND(#REF!,"AAAAAFuT/bU=")</f>
        <v>#REF!</v>
      </c>
      <c r="GA2" t="e">
        <f>AND(#REF!,"AAAAAFuT/bY=")</f>
        <v>#REF!</v>
      </c>
      <c r="GB2" t="e">
        <f>AND(#REF!,"AAAAAFuT/bc=")</f>
        <v>#REF!</v>
      </c>
      <c r="GC2" t="e">
        <f>AND(#REF!,"AAAAAFuT/bg=")</f>
        <v>#REF!</v>
      </c>
      <c r="GD2" t="e">
        <f>AND(#REF!,"AAAAAFuT/bk=")</f>
        <v>#REF!</v>
      </c>
      <c r="GE2" t="e">
        <f>AND(#REF!,"AAAAAFuT/bo=")</f>
        <v>#REF!</v>
      </c>
      <c r="GF2" t="e">
        <f>AND(#REF!,"AAAAAFuT/bs=")</f>
        <v>#REF!</v>
      </c>
      <c r="GG2" t="e">
        <f>IF(#REF!,"AAAAAFuT/bw=",0)</f>
        <v>#REF!</v>
      </c>
      <c r="GH2" t="e">
        <f>AND(#REF!,"AAAAAFuT/b0=")</f>
        <v>#REF!</v>
      </c>
      <c r="GI2" t="e">
        <f>AND(#REF!,"AAAAAFuT/b4=")</f>
        <v>#REF!</v>
      </c>
      <c r="GJ2" t="e">
        <f>AND(#REF!,"AAAAAFuT/b8=")</f>
        <v>#REF!</v>
      </c>
      <c r="GK2" t="e">
        <f>AND(#REF!,"AAAAAFuT/cA=")</f>
        <v>#REF!</v>
      </c>
      <c r="GL2" t="e">
        <f>AND(#REF!,"AAAAAFuT/cE=")</f>
        <v>#REF!</v>
      </c>
      <c r="GM2" t="e">
        <f>AND(#REF!,"AAAAAFuT/cI=")</f>
        <v>#REF!</v>
      </c>
      <c r="GN2" t="e">
        <f>AND(#REF!,"AAAAAFuT/cM=")</f>
        <v>#REF!</v>
      </c>
      <c r="GO2" t="e">
        <f>AND(#REF!,"AAAAAFuT/cQ=")</f>
        <v>#REF!</v>
      </c>
      <c r="GP2" t="e">
        <f>AND(#REF!,"AAAAAFuT/cU=")</f>
        <v>#REF!</v>
      </c>
      <c r="GQ2" t="e">
        <f>AND(#REF!,"AAAAAFuT/cY=")</f>
        <v>#REF!</v>
      </c>
      <c r="GR2" t="e">
        <f>AND(#REF!,"AAAAAFuT/cc=")</f>
        <v>#REF!</v>
      </c>
      <c r="GS2" t="e">
        <f>IF(#REF!,"AAAAAFuT/cg=",0)</f>
        <v>#REF!</v>
      </c>
      <c r="GT2" t="e">
        <f>AND(#REF!,"AAAAAFuT/ck=")</f>
        <v>#REF!</v>
      </c>
      <c r="GU2" t="e">
        <f>AND(#REF!,"AAAAAFuT/co=")</f>
        <v>#REF!</v>
      </c>
      <c r="GV2" t="e">
        <f>AND(#REF!,"AAAAAFuT/cs=")</f>
        <v>#REF!</v>
      </c>
      <c r="GW2" t="e">
        <f>AND(#REF!,"AAAAAFuT/cw=")</f>
        <v>#REF!</v>
      </c>
      <c r="GX2" t="e">
        <f>AND(#REF!,"AAAAAFuT/c0=")</f>
        <v>#REF!</v>
      </c>
      <c r="GY2" t="e">
        <f>AND(#REF!,"AAAAAFuT/c4=")</f>
        <v>#REF!</v>
      </c>
      <c r="GZ2" t="e">
        <f>AND(#REF!,"AAAAAFuT/c8=")</f>
        <v>#REF!</v>
      </c>
      <c r="HA2" t="e">
        <f>AND(#REF!,"AAAAAFuT/dA=")</f>
        <v>#REF!</v>
      </c>
      <c r="HB2" t="e">
        <f>AND(#REF!,"AAAAAFuT/dE=")</f>
        <v>#REF!</v>
      </c>
      <c r="HC2" t="e">
        <f>AND(#REF!,"AAAAAFuT/dI=")</f>
        <v>#REF!</v>
      </c>
      <c r="HD2" t="e">
        <f>AND(#REF!,"AAAAAFuT/dM=")</f>
        <v>#REF!</v>
      </c>
      <c r="HE2" t="e">
        <f>IF(#REF!,"AAAAAFuT/dQ=",0)</f>
        <v>#REF!</v>
      </c>
      <c r="HF2" t="e">
        <f>AND(#REF!,"AAAAAFuT/dU=")</f>
        <v>#REF!</v>
      </c>
      <c r="HG2" t="e">
        <f>AND(#REF!,"AAAAAFuT/dY=")</f>
        <v>#REF!</v>
      </c>
      <c r="HH2" t="e">
        <f>AND(#REF!,"AAAAAFuT/dc=")</f>
        <v>#REF!</v>
      </c>
      <c r="HI2" t="e">
        <f>AND(#REF!,"AAAAAFuT/dg=")</f>
        <v>#REF!</v>
      </c>
      <c r="HJ2" t="e">
        <f>AND(#REF!,"AAAAAFuT/dk=")</f>
        <v>#REF!</v>
      </c>
      <c r="HK2" t="e">
        <f>AND(#REF!,"AAAAAFuT/do=")</f>
        <v>#REF!</v>
      </c>
      <c r="HL2" t="e">
        <f>AND(#REF!,"AAAAAFuT/ds=")</f>
        <v>#REF!</v>
      </c>
      <c r="HM2" t="e">
        <f>AND(#REF!,"AAAAAFuT/dw=")</f>
        <v>#REF!</v>
      </c>
      <c r="HN2" t="e">
        <f>AND(#REF!,"AAAAAFuT/d0=")</f>
        <v>#REF!</v>
      </c>
      <c r="HO2" t="e">
        <f>AND(#REF!,"AAAAAFuT/d4=")</f>
        <v>#REF!</v>
      </c>
      <c r="HP2" t="e">
        <f>AND(#REF!,"AAAAAFuT/d8=")</f>
        <v>#REF!</v>
      </c>
      <c r="HQ2" t="e">
        <f>IF(#REF!,"AAAAAFuT/eA=",0)</f>
        <v>#REF!</v>
      </c>
      <c r="HR2" t="e">
        <f>AND(#REF!,"AAAAAFuT/eE=")</f>
        <v>#REF!</v>
      </c>
      <c r="HS2" t="e">
        <f>AND(#REF!,"AAAAAFuT/eI=")</f>
        <v>#REF!</v>
      </c>
      <c r="HT2" t="e">
        <f>AND(#REF!,"AAAAAFuT/eM=")</f>
        <v>#REF!</v>
      </c>
      <c r="HU2" t="e">
        <f>AND(#REF!,"AAAAAFuT/eQ=")</f>
        <v>#REF!</v>
      </c>
      <c r="HV2" t="e">
        <f>AND(#REF!,"AAAAAFuT/eU=")</f>
        <v>#REF!</v>
      </c>
      <c r="HW2" t="e">
        <f>AND(#REF!,"AAAAAFuT/eY=")</f>
        <v>#REF!</v>
      </c>
      <c r="HX2" t="e">
        <f>AND(#REF!,"AAAAAFuT/ec=")</f>
        <v>#REF!</v>
      </c>
      <c r="HY2" t="e">
        <f>AND(#REF!,"AAAAAFuT/eg=")</f>
        <v>#REF!</v>
      </c>
      <c r="HZ2" t="e">
        <f>AND(#REF!,"AAAAAFuT/ek=")</f>
        <v>#REF!</v>
      </c>
      <c r="IA2" t="e">
        <f>AND(#REF!,"AAAAAFuT/eo=")</f>
        <v>#REF!</v>
      </c>
      <c r="IB2" t="e">
        <f>AND(#REF!,"AAAAAFuT/es=")</f>
        <v>#REF!</v>
      </c>
      <c r="IC2" t="e">
        <f>IF(#REF!,"AAAAAFuT/ew=",0)</f>
        <v>#REF!</v>
      </c>
      <c r="ID2" t="e">
        <f>AND(#REF!,"AAAAAFuT/e0=")</f>
        <v>#REF!</v>
      </c>
      <c r="IE2" t="e">
        <f>AND(#REF!,"AAAAAFuT/e4=")</f>
        <v>#REF!</v>
      </c>
      <c r="IF2" t="e">
        <f>AND(#REF!,"AAAAAFuT/e8=")</f>
        <v>#REF!</v>
      </c>
      <c r="IG2" t="e">
        <f>AND(#REF!,"AAAAAFuT/fA=")</f>
        <v>#REF!</v>
      </c>
      <c r="IH2" t="e">
        <f>AND(#REF!,"AAAAAFuT/fE=")</f>
        <v>#REF!</v>
      </c>
      <c r="II2" t="e">
        <f>AND(#REF!,"AAAAAFuT/fI=")</f>
        <v>#REF!</v>
      </c>
      <c r="IJ2" t="e">
        <f>AND(#REF!,"AAAAAFuT/fM=")</f>
        <v>#REF!</v>
      </c>
      <c r="IK2" t="e">
        <f>AND(#REF!,"AAAAAFuT/fQ=")</f>
        <v>#REF!</v>
      </c>
      <c r="IL2" t="e">
        <f>AND(#REF!,"AAAAAFuT/fU=")</f>
        <v>#REF!</v>
      </c>
      <c r="IM2" t="e">
        <f>AND(#REF!,"AAAAAFuT/fY=")</f>
        <v>#REF!</v>
      </c>
      <c r="IN2" t="e">
        <f>AND(#REF!,"AAAAAFuT/fc=")</f>
        <v>#REF!</v>
      </c>
      <c r="IO2" t="e">
        <f>IF(#REF!,"AAAAAFuT/fg=",0)</f>
        <v>#REF!</v>
      </c>
      <c r="IP2" t="e">
        <f>AND(#REF!,"AAAAAFuT/fk=")</f>
        <v>#REF!</v>
      </c>
      <c r="IQ2" t="e">
        <f>AND(#REF!,"AAAAAFuT/fo=")</f>
        <v>#REF!</v>
      </c>
      <c r="IR2" t="e">
        <f>AND(#REF!,"AAAAAFuT/fs=")</f>
        <v>#REF!</v>
      </c>
      <c r="IS2" t="e">
        <f>AND(#REF!,"AAAAAFuT/fw=")</f>
        <v>#REF!</v>
      </c>
      <c r="IT2" t="e">
        <f>AND(#REF!,"AAAAAFuT/f0=")</f>
        <v>#REF!</v>
      </c>
      <c r="IU2" t="e">
        <f>AND(#REF!,"AAAAAFuT/f4=")</f>
        <v>#REF!</v>
      </c>
      <c r="IV2" t="e">
        <f>AND(#REF!,"AAAAAFuT/f8=")</f>
        <v>#REF!</v>
      </c>
    </row>
    <row r="3" spans="1:256" x14ac:dyDescent="0.25">
      <c r="A3" t="e">
        <f>AND(#REF!,"AAAAAHr5GwA=")</f>
        <v>#REF!</v>
      </c>
      <c r="B3" t="e">
        <f>AND(#REF!,"AAAAAHr5GwE=")</f>
        <v>#REF!</v>
      </c>
      <c r="C3" t="e">
        <f>AND(#REF!,"AAAAAHr5GwI=")</f>
        <v>#REF!</v>
      </c>
      <c r="D3" t="e">
        <f>AND(#REF!,"AAAAAHr5GwM=")</f>
        <v>#REF!</v>
      </c>
      <c r="E3" t="e">
        <f>IF(#REF!,"AAAAAHr5GwQ=",0)</f>
        <v>#REF!</v>
      </c>
      <c r="F3" t="e">
        <f>AND(#REF!,"AAAAAHr5GwU=")</f>
        <v>#REF!</v>
      </c>
      <c r="G3" t="e">
        <f>AND(#REF!,"AAAAAHr5GwY=")</f>
        <v>#REF!</v>
      </c>
      <c r="H3" t="e">
        <f>AND(#REF!,"AAAAAHr5Gwc=")</f>
        <v>#REF!</v>
      </c>
      <c r="I3" t="e">
        <f>AND(#REF!,"AAAAAHr5Gwg=")</f>
        <v>#REF!</v>
      </c>
      <c r="J3" t="e">
        <f>AND(#REF!,"AAAAAHr5Gwk=")</f>
        <v>#REF!</v>
      </c>
      <c r="K3" t="e">
        <f>AND(#REF!,"AAAAAHr5Gwo=")</f>
        <v>#REF!</v>
      </c>
      <c r="L3" t="e">
        <f>AND(#REF!,"AAAAAHr5Gws=")</f>
        <v>#REF!</v>
      </c>
      <c r="M3" t="e">
        <f>AND(#REF!,"AAAAAHr5Gww=")</f>
        <v>#REF!</v>
      </c>
      <c r="N3" t="e">
        <f>AND(#REF!,"AAAAAHr5Gw0=")</f>
        <v>#REF!</v>
      </c>
      <c r="O3" t="e">
        <f>AND(#REF!,"AAAAAHr5Gw4=")</f>
        <v>#REF!</v>
      </c>
      <c r="P3" t="e">
        <f>AND(#REF!,"AAAAAHr5Gw8=")</f>
        <v>#REF!</v>
      </c>
      <c r="Q3" t="e">
        <f>IF(#REF!,"AAAAAHr5GxA=",0)</f>
        <v>#REF!</v>
      </c>
      <c r="R3" t="e">
        <f>AND(#REF!,"AAAAAHr5GxE=")</f>
        <v>#REF!</v>
      </c>
      <c r="S3" t="e">
        <f>AND(#REF!,"AAAAAHr5GxI=")</f>
        <v>#REF!</v>
      </c>
      <c r="T3" t="e">
        <f>AND(#REF!,"AAAAAHr5GxM=")</f>
        <v>#REF!</v>
      </c>
      <c r="U3" t="e">
        <f>AND(#REF!,"AAAAAHr5GxQ=")</f>
        <v>#REF!</v>
      </c>
      <c r="V3" t="e">
        <f>AND(#REF!,"AAAAAHr5GxU=")</f>
        <v>#REF!</v>
      </c>
      <c r="W3" t="e">
        <f>AND(#REF!,"AAAAAHr5GxY=")</f>
        <v>#REF!</v>
      </c>
      <c r="X3" t="e">
        <f>AND(#REF!,"AAAAAHr5Gxc=")</f>
        <v>#REF!</v>
      </c>
      <c r="Y3" t="e">
        <f>AND(#REF!,"AAAAAHr5Gxg=")</f>
        <v>#REF!</v>
      </c>
      <c r="Z3" t="e">
        <f>AND(#REF!,"AAAAAHr5Gxk=")</f>
        <v>#REF!</v>
      </c>
      <c r="AA3" t="e">
        <f>AND(#REF!,"AAAAAHr5Gxo=")</f>
        <v>#REF!</v>
      </c>
      <c r="AB3" t="e">
        <f>AND(#REF!,"AAAAAHr5Gxs=")</f>
        <v>#REF!</v>
      </c>
      <c r="AC3" t="e">
        <f>IF(#REF!,"AAAAAHr5Gxw=",0)</f>
        <v>#REF!</v>
      </c>
      <c r="AD3" t="e">
        <f>AND(#REF!,"AAAAAHr5Gx0=")</f>
        <v>#REF!</v>
      </c>
      <c r="AE3" t="e">
        <f>AND(#REF!,"AAAAAHr5Gx4=")</f>
        <v>#REF!</v>
      </c>
      <c r="AF3" t="e">
        <f>AND(#REF!,"AAAAAHr5Gx8=")</f>
        <v>#REF!</v>
      </c>
      <c r="AG3" t="e">
        <f>AND(#REF!,"AAAAAHr5GyA=")</f>
        <v>#REF!</v>
      </c>
      <c r="AH3" t="e">
        <f>AND(#REF!,"AAAAAHr5GyE=")</f>
        <v>#REF!</v>
      </c>
      <c r="AI3" t="e">
        <f>AND(#REF!,"AAAAAHr5GyI=")</f>
        <v>#REF!</v>
      </c>
      <c r="AJ3" t="e">
        <f>AND(#REF!,"AAAAAHr5GyM=")</f>
        <v>#REF!</v>
      </c>
      <c r="AK3" t="e">
        <f>AND(#REF!,"AAAAAHr5GyQ=")</f>
        <v>#REF!</v>
      </c>
      <c r="AL3" t="e">
        <f>AND(#REF!,"AAAAAHr5GyU=")</f>
        <v>#REF!</v>
      </c>
      <c r="AM3" t="e">
        <f>AND(#REF!,"AAAAAHr5GyY=")</f>
        <v>#REF!</v>
      </c>
      <c r="AN3" t="e">
        <f>AND(#REF!,"AAAAAHr5Gyc=")</f>
        <v>#REF!</v>
      </c>
      <c r="AO3" t="e">
        <f>IF(#REF!,"AAAAAHr5Gyg=",0)</f>
        <v>#REF!</v>
      </c>
      <c r="AP3" t="e">
        <f>AND(#REF!,"AAAAAHr5Gyk=")</f>
        <v>#REF!</v>
      </c>
      <c r="AQ3" t="e">
        <f>AND(#REF!,"AAAAAHr5Gyo=")</f>
        <v>#REF!</v>
      </c>
      <c r="AR3" t="e">
        <f>AND(#REF!,"AAAAAHr5Gys=")</f>
        <v>#REF!</v>
      </c>
      <c r="AS3" t="e">
        <f>AND(#REF!,"AAAAAHr5Gyw=")</f>
        <v>#REF!</v>
      </c>
      <c r="AT3" t="e">
        <f>AND(#REF!,"AAAAAHr5Gy0=")</f>
        <v>#REF!</v>
      </c>
      <c r="AU3" t="e">
        <f>AND(#REF!,"AAAAAHr5Gy4=")</f>
        <v>#REF!</v>
      </c>
      <c r="AV3" t="e">
        <f>AND(#REF!,"AAAAAHr5Gy8=")</f>
        <v>#REF!</v>
      </c>
      <c r="AW3" t="e">
        <f>AND(#REF!,"AAAAAHr5GzA=")</f>
        <v>#REF!</v>
      </c>
      <c r="AX3" t="e">
        <f>AND(#REF!,"AAAAAHr5GzE=")</f>
        <v>#REF!</v>
      </c>
      <c r="AY3" t="e">
        <f>AND(#REF!,"AAAAAHr5GzI=")</f>
        <v>#REF!</v>
      </c>
      <c r="AZ3" t="e">
        <f>AND(#REF!,"AAAAAHr5GzM=")</f>
        <v>#REF!</v>
      </c>
      <c r="BA3" t="e">
        <f>IF(#REF!,"AAAAAHr5GzQ=",0)</f>
        <v>#REF!</v>
      </c>
      <c r="BB3" t="e">
        <f>AND(#REF!,"AAAAAHr5GzU=")</f>
        <v>#REF!</v>
      </c>
      <c r="BC3" t="e">
        <f>AND(#REF!,"AAAAAHr5GzY=")</f>
        <v>#REF!</v>
      </c>
      <c r="BD3" t="e">
        <f>AND(#REF!,"AAAAAHr5Gzc=")</f>
        <v>#REF!</v>
      </c>
      <c r="BE3" t="e">
        <f>AND(#REF!,"AAAAAHr5Gzg=")</f>
        <v>#REF!</v>
      </c>
      <c r="BF3" t="e">
        <f>AND(#REF!,"AAAAAHr5Gzk=")</f>
        <v>#REF!</v>
      </c>
      <c r="BG3" t="e">
        <f>AND(#REF!,"AAAAAHr5Gzo=")</f>
        <v>#REF!</v>
      </c>
      <c r="BH3" t="e">
        <f>AND(#REF!,"AAAAAHr5Gzs=")</f>
        <v>#REF!</v>
      </c>
      <c r="BI3" t="e">
        <f>AND(#REF!,"AAAAAHr5Gzw=")</f>
        <v>#REF!</v>
      </c>
      <c r="BJ3" t="e">
        <f>AND(#REF!,"AAAAAHr5Gz0=")</f>
        <v>#REF!</v>
      </c>
      <c r="BK3" t="e">
        <f>AND(#REF!,"AAAAAHr5Gz4=")</f>
        <v>#REF!</v>
      </c>
      <c r="BL3" t="e">
        <f>AND(#REF!,"AAAAAHr5Gz8=")</f>
        <v>#REF!</v>
      </c>
      <c r="BM3" t="e">
        <f>IF(#REF!,"AAAAAHr5G0A=",0)</f>
        <v>#REF!</v>
      </c>
      <c r="BN3" t="e">
        <f>AND(#REF!,"AAAAAHr5G0E=")</f>
        <v>#REF!</v>
      </c>
      <c r="BO3" t="e">
        <f>AND(#REF!,"AAAAAHr5G0I=")</f>
        <v>#REF!</v>
      </c>
      <c r="BP3" t="e">
        <f>AND(#REF!,"AAAAAHr5G0M=")</f>
        <v>#REF!</v>
      </c>
      <c r="BQ3" t="e">
        <f>AND(#REF!,"AAAAAHr5G0Q=")</f>
        <v>#REF!</v>
      </c>
      <c r="BR3" t="e">
        <f>AND(#REF!,"AAAAAHr5G0U=")</f>
        <v>#REF!</v>
      </c>
      <c r="BS3" t="e">
        <f>AND(#REF!,"AAAAAHr5G0Y=")</f>
        <v>#REF!</v>
      </c>
      <c r="BT3" t="e">
        <f>AND(#REF!,"AAAAAHr5G0c=")</f>
        <v>#REF!</v>
      </c>
      <c r="BU3" t="e">
        <f>AND(#REF!,"AAAAAHr5G0g=")</f>
        <v>#REF!</v>
      </c>
      <c r="BV3" t="e">
        <f>AND(#REF!,"AAAAAHr5G0k=")</f>
        <v>#REF!</v>
      </c>
      <c r="BW3" t="e">
        <f>AND(#REF!,"AAAAAHr5G0o=")</f>
        <v>#REF!</v>
      </c>
      <c r="BX3" t="e">
        <f>AND(#REF!,"AAAAAHr5G0s=")</f>
        <v>#REF!</v>
      </c>
      <c r="BY3" t="e">
        <f>IF(#REF!,"AAAAAHr5G0w=",0)</f>
        <v>#REF!</v>
      </c>
      <c r="BZ3" t="e">
        <f>AND(#REF!,"AAAAAHr5G00=")</f>
        <v>#REF!</v>
      </c>
      <c r="CA3" t="e">
        <f>AND(#REF!,"AAAAAHr5G04=")</f>
        <v>#REF!</v>
      </c>
      <c r="CB3" t="e">
        <f>AND(#REF!,"AAAAAHr5G08=")</f>
        <v>#REF!</v>
      </c>
      <c r="CC3" t="e">
        <f>AND(#REF!,"AAAAAHr5G1A=")</f>
        <v>#REF!</v>
      </c>
      <c r="CD3" t="e">
        <f>AND(#REF!,"AAAAAHr5G1E=")</f>
        <v>#REF!</v>
      </c>
      <c r="CE3" t="e">
        <f>AND(#REF!,"AAAAAHr5G1I=")</f>
        <v>#REF!</v>
      </c>
      <c r="CF3" t="e">
        <f>AND(#REF!,"AAAAAHr5G1M=")</f>
        <v>#REF!</v>
      </c>
      <c r="CG3" t="e">
        <f>AND(#REF!,"AAAAAHr5G1Q=")</f>
        <v>#REF!</v>
      </c>
      <c r="CH3" t="e">
        <f>AND(#REF!,"AAAAAHr5G1U=")</f>
        <v>#REF!</v>
      </c>
      <c r="CI3" t="e">
        <f>AND(#REF!,"AAAAAHr5G1Y=")</f>
        <v>#REF!</v>
      </c>
      <c r="CJ3" t="e">
        <f>AND(#REF!,"AAAAAHr5G1c=")</f>
        <v>#REF!</v>
      </c>
      <c r="CK3" t="e">
        <f>IF(#REF!,"AAAAAHr5G1g=",0)</f>
        <v>#REF!</v>
      </c>
      <c r="CL3" t="e">
        <f>AND(#REF!,"AAAAAHr5G1k=")</f>
        <v>#REF!</v>
      </c>
      <c r="CM3" t="e">
        <f>AND(#REF!,"AAAAAHr5G1o=")</f>
        <v>#REF!</v>
      </c>
      <c r="CN3" t="e">
        <f>AND(#REF!,"AAAAAHr5G1s=")</f>
        <v>#REF!</v>
      </c>
      <c r="CO3" t="e">
        <f>AND(#REF!,"AAAAAHr5G1w=")</f>
        <v>#REF!</v>
      </c>
      <c r="CP3" t="e">
        <f>AND(#REF!,"AAAAAHr5G10=")</f>
        <v>#REF!</v>
      </c>
      <c r="CQ3" t="e">
        <f>AND(#REF!,"AAAAAHr5G14=")</f>
        <v>#REF!</v>
      </c>
      <c r="CR3" t="e">
        <f>AND(#REF!,"AAAAAHr5G18=")</f>
        <v>#REF!</v>
      </c>
      <c r="CS3" t="e">
        <f>AND(#REF!,"AAAAAHr5G2A=")</f>
        <v>#REF!</v>
      </c>
      <c r="CT3" t="e">
        <f>AND(#REF!,"AAAAAHr5G2E=")</f>
        <v>#REF!</v>
      </c>
      <c r="CU3" t="e">
        <f>AND(#REF!,"AAAAAHr5G2I=")</f>
        <v>#REF!</v>
      </c>
      <c r="CV3" t="e">
        <f>AND(#REF!,"AAAAAHr5G2M=")</f>
        <v>#REF!</v>
      </c>
      <c r="CW3" t="e">
        <f>IF(#REF!,"AAAAAHr5G2Q=",0)</f>
        <v>#REF!</v>
      </c>
      <c r="CX3" t="e">
        <f>AND(#REF!,"AAAAAHr5G2U=")</f>
        <v>#REF!</v>
      </c>
      <c r="CY3" t="e">
        <f>AND(#REF!,"AAAAAHr5G2Y=")</f>
        <v>#REF!</v>
      </c>
      <c r="CZ3" t="e">
        <f>AND(#REF!,"AAAAAHr5G2c=")</f>
        <v>#REF!</v>
      </c>
      <c r="DA3" t="e">
        <f>AND(#REF!,"AAAAAHr5G2g=")</f>
        <v>#REF!</v>
      </c>
      <c r="DB3" t="e">
        <f>AND(#REF!,"AAAAAHr5G2k=")</f>
        <v>#REF!</v>
      </c>
      <c r="DC3" t="e">
        <f>AND(#REF!,"AAAAAHr5G2o=")</f>
        <v>#REF!</v>
      </c>
      <c r="DD3" t="e">
        <f>AND(#REF!,"AAAAAHr5G2s=")</f>
        <v>#REF!</v>
      </c>
      <c r="DE3" t="e">
        <f>AND(#REF!,"AAAAAHr5G2w=")</f>
        <v>#REF!</v>
      </c>
      <c r="DF3" t="e">
        <f>AND(#REF!,"AAAAAHr5G20=")</f>
        <v>#REF!</v>
      </c>
      <c r="DG3" t="e">
        <f>AND(#REF!,"AAAAAHr5G24=")</f>
        <v>#REF!</v>
      </c>
      <c r="DH3" t="e">
        <f>AND(#REF!,"AAAAAHr5G28=")</f>
        <v>#REF!</v>
      </c>
      <c r="DI3" t="e">
        <f>IF(#REF!,"AAAAAHr5G3A=",0)</f>
        <v>#REF!</v>
      </c>
      <c r="DJ3" t="e">
        <f>AND(#REF!,"AAAAAHr5G3E=")</f>
        <v>#REF!</v>
      </c>
      <c r="DK3" t="e">
        <f>AND(#REF!,"AAAAAHr5G3I=")</f>
        <v>#REF!</v>
      </c>
      <c r="DL3" t="e">
        <f>AND(#REF!,"AAAAAHr5G3M=")</f>
        <v>#REF!</v>
      </c>
      <c r="DM3" t="e">
        <f>AND(#REF!,"AAAAAHr5G3Q=")</f>
        <v>#REF!</v>
      </c>
      <c r="DN3" t="e">
        <f>AND(#REF!,"AAAAAHr5G3U=")</f>
        <v>#REF!</v>
      </c>
      <c r="DO3" t="e">
        <f>AND(#REF!,"AAAAAHr5G3Y=")</f>
        <v>#REF!</v>
      </c>
      <c r="DP3" t="e">
        <f>AND(#REF!,"AAAAAHr5G3c=")</f>
        <v>#REF!</v>
      </c>
      <c r="DQ3" t="e">
        <f>AND(#REF!,"AAAAAHr5G3g=")</f>
        <v>#REF!</v>
      </c>
      <c r="DR3" t="e">
        <f>AND(#REF!,"AAAAAHr5G3k=")</f>
        <v>#REF!</v>
      </c>
      <c r="DS3" t="e">
        <f>AND(#REF!,"AAAAAHr5G3o=")</f>
        <v>#REF!</v>
      </c>
      <c r="DT3" t="e">
        <f>AND(#REF!,"AAAAAHr5G3s=")</f>
        <v>#REF!</v>
      </c>
      <c r="DU3" t="e">
        <f>IF(#REF!,"AAAAAHr5G3w=",0)</f>
        <v>#REF!</v>
      </c>
      <c r="DV3" t="e">
        <f>AND(#REF!,"AAAAAHr5G30=")</f>
        <v>#REF!</v>
      </c>
      <c r="DW3" t="e">
        <f>AND(#REF!,"AAAAAHr5G34=")</f>
        <v>#REF!</v>
      </c>
      <c r="DX3" t="e">
        <f>AND(#REF!,"AAAAAHr5G38=")</f>
        <v>#REF!</v>
      </c>
      <c r="DY3" t="e">
        <f>AND(#REF!,"AAAAAHr5G4A=")</f>
        <v>#REF!</v>
      </c>
      <c r="DZ3" t="e">
        <f>AND(#REF!,"AAAAAHr5G4E=")</f>
        <v>#REF!</v>
      </c>
      <c r="EA3" t="e">
        <f>AND(#REF!,"AAAAAHr5G4I=")</f>
        <v>#REF!</v>
      </c>
      <c r="EB3" t="e">
        <f>AND(#REF!,"AAAAAHr5G4M=")</f>
        <v>#REF!</v>
      </c>
      <c r="EC3" t="e">
        <f>AND(#REF!,"AAAAAHr5G4Q=")</f>
        <v>#REF!</v>
      </c>
      <c r="ED3" t="e">
        <f>AND(#REF!,"AAAAAHr5G4U=")</f>
        <v>#REF!</v>
      </c>
      <c r="EE3" t="e">
        <f>AND(#REF!,"AAAAAHr5G4Y=")</f>
        <v>#REF!</v>
      </c>
      <c r="EF3" t="e">
        <f>AND(#REF!,"AAAAAHr5G4c=")</f>
        <v>#REF!</v>
      </c>
      <c r="EG3" t="e">
        <f>IF(#REF!,"AAAAAHr5G4g=",0)</f>
        <v>#REF!</v>
      </c>
      <c r="EH3" t="e">
        <f>AND(#REF!,"AAAAAHr5G4k=")</f>
        <v>#REF!</v>
      </c>
      <c r="EI3" t="e">
        <f>AND(#REF!,"AAAAAHr5G4o=")</f>
        <v>#REF!</v>
      </c>
      <c r="EJ3" t="e">
        <f>AND(#REF!,"AAAAAHr5G4s=")</f>
        <v>#REF!</v>
      </c>
      <c r="EK3" t="e">
        <f>AND(#REF!,"AAAAAHr5G4w=")</f>
        <v>#REF!</v>
      </c>
      <c r="EL3" t="e">
        <f>AND(#REF!,"AAAAAHr5G40=")</f>
        <v>#REF!</v>
      </c>
      <c r="EM3" t="e">
        <f>AND(#REF!,"AAAAAHr5G44=")</f>
        <v>#REF!</v>
      </c>
      <c r="EN3" t="e">
        <f>AND(#REF!,"AAAAAHr5G48=")</f>
        <v>#REF!</v>
      </c>
      <c r="EO3" t="e">
        <f>AND(#REF!,"AAAAAHr5G5A=")</f>
        <v>#REF!</v>
      </c>
      <c r="EP3" t="e">
        <f>AND(#REF!,"AAAAAHr5G5E=")</f>
        <v>#REF!</v>
      </c>
      <c r="EQ3" t="e">
        <f>AND(#REF!,"AAAAAHr5G5I=")</f>
        <v>#REF!</v>
      </c>
      <c r="ER3" t="e">
        <f>AND(#REF!,"AAAAAHr5G5M=")</f>
        <v>#REF!</v>
      </c>
      <c r="ES3" t="e">
        <f>IF(#REF!,"AAAAAHr5G5Q=",0)</f>
        <v>#REF!</v>
      </c>
      <c r="ET3" t="e">
        <f>AND(#REF!,"AAAAAHr5G5U=")</f>
        <v>#REF!</v>
      </c>
      <c r="EU3" t="e">
        <f>AND(#REF!,"AAAAAHr5G5Y=")</f>
        <v>#REF!</v>
      </c>
      <c r="EV3" t="e">
        <f>AND(#REF!,"AAAAAHr5G5c=")</f>
        <v>#REF!</v>
      </c>
      <c r="EW3" t="e">
        <f>AND(#REF!,"AAAAAHr5G5g=")</f>
        <v>#REF!</v>
      </c>
      <c r="EX3" t="e">
        <f>AND(#REF!,"AAAAAHr5G5k=")</f>
        <v>#REF!</v>
      </c>
      <c r="EY3" t="e">
        <f>AND(#REF!,"AAAAAHr5G5o=")</f>
        <v>#REF!</v>
      </c>
      <c r="EZ3" t="e">
        <f>AND(#REF!,"AAAAAHr5G5s=")</f>
        <v>#REF!</v>
      </c>
      <c r="FA3" t="e">
        <f>AND(#REF!,"AAAAAHr5G5w=")</f>
        <v>#REF!</v>
      </c>
      <c r="FB3" t="e">
        <f>AND(#REF!,"AAAAAHr5G50=")</f>
        <v>#REF!</v>
      </c>
      <c r="FC3" t="e">
        <f>AND(#REF!,"AAAAAHr5G54=")</f>
        <v>#REF!</v>
      </c>
      <c r="FD3" t="e">
        <f>AND(#REF!,"AAAAAHr5G58=")</f>
        <v>#REF!</v>
      </c>
      <c r="FE3" t="e">
        <f>IF(#REF!,"AAAAAHr5G6A=",0)</f>
        <v>#REF!</v>
      </c>
      <c r="FF3" t="e">
        <f>AND(#REF!,"AAAAAHr5G6E=")</f>
        <v>#REF!</v>
      </c>
      <c r="FG3" t="e">
        <f>AND(#REF!,"AAAAAHr5G6I=")</f>
        <v>#REF!</v>
      </c>
      <c r="FH3" t="e">
        <f>AND(#REF!,"AAAAAHr5G6M=")</f>
        <v>#REF!</v>
      </c>
      <c r="FI3" t="e">
        <f>AND(#REF!,"AAAAAHr5G6Q=")</f>
        <v>#REF!</v>
      </c>
      <c r="FJ3" t="e">
        <f>AND(#REF!,"AAAAAHr5G6U=")</f>
        <v>#REF!</v>
      </c>
      <c r="FK3" t="e">
        <f>AND(#REF!,"AAAAAHr5G6Y=")</f>
        <v>#REF!</v>
      </c>
      <c r="FL3" t="e">
        <f>AND(#REF!,"AAAAAHr5G6c=")</f>
        <v>#REF!</v>
      </c>
      <c r="FM3" t="e">
        <f>AND(#REF!,"AAAAAHr5G6g=")</f>
        <v>#REF!</v>
      </c>
      <c r="FN3" t="e">
        <f>AND(#REF!,"AAAAAHr5G6k=")</f>
        <v>#REF!</v>
      </c>
      <c r="FO3" t="e">
        <f>AND(#REF!,"AAAAAHr5G6o=")</f>
        <v>#REF!</v>
      </c>
      <c r="FP3" t="e">
        <f>AND(#REF!,"AAAAAHr5G6s=")</f>
        <v>#REF!</v>
      </c>
      <c r="FQ3" t="e">
        <f>IF(#REF!,"AAAAAHr5G6w=",0)</f>
        <v>#REF!</v>
      </c>
      <c r="FR3" t="e">
        <f>AND(#REF!,"AAAAAHr5G60=")</f>
        <v>#REF!</v>
      </c>
      <c r="FS3" t="e">
        <f>AND(#REF!,"AAAAAHr5G64=")</f>
        <v>#REF!</v>
      </c>
      <c r="FT3" t="e">
        <f>AND(#REF!,"AAAAAHr5G68=")</f>
        <v>#REF!</v>
      </c>
      <c r="FU3" t="e">
        <f>AND(#REF!,"AAAAAHr5G7A=")</f>
        <v>#REF!</v>
      </c>
      <c r="FV3" t="e">
        <f>AND(#REF!,"AAAAAHr5G7E=")</f>
        <v>#REF!</v>
      </c>
      <c r="FW3" t="e">
        <f>AND(#REF!,"AAAAAHr5G7I=")</f>
        <v>#REF!</v>
      </c>
      <c r="FX3" t="e">
        <f>AND(#REF!,"AAAAAHr5G7M=")</f>
        <v>#REF!</v>
      </c>
      <c r="FY3" t="e">
        <f>AND(#REF!,"AAAAAHr5G7Q=")</f>
        <v>#REF!</v>
      </c>
      <c r="FZ3" t="e">
        <f>AND(#REF!,"AAAAAHr5G7U=")</f>
        <v>#REF!</v>
      </c>
      <c r="GA3" t="e">
        <f>AND(#REF!,"AAAAAHr5G7Y=")</f>
        <v>#REF!</v>
      </c>
      <c r="GB3" t="e">
        <f>AND(#REF!,"AAAAAHr5G7c=")</f>
        <v>#REF!</v>
      </c>
      <c r="GC3" t="e">
        <f>IF(#REF!,"AAAAAHr5G7g=",0)</f>
        <v>#REF!</v>
      </c>
      <c r="GD3" t="e">
        <f>AND(#REF!,"AAAAAHr5G7k=")</f>
        <v>#REF!</v>
      </c>
      <c r="GE3" t="e">
        <f>AND(#REF!,"AAAAAHr5G7o=")</f>
        <v>#REF!</v>
      </c>
      <c r="GF3" t="e">
        <f>AND(#REF!,"AAAAAHr5G7s=")</f>
        <v>#REF!</v>
      </c>
      <c r="GG3" t="e">
        <f>AND(#REF!,"AAAAAHr5G7w=")</f>
        <v>#REF!</v>
      </c>
      <c r="GH3" t="e">
        <f>AND(#REF!,"AAAAAHr5G70=")</f>
        <v>#REF!</v>
      </c>
      <c r="GI3" t="e">
        <f>AND(#REF!,"AAAAAHr5G74=")</f>
        <v>#REF!</v>
      </c>
      <c r="GJ3" t="e">
        <f>AND(#REF!,"AAAAAHr5G78=")</f>
        <v>#REF!</v>
      </c>
      <c r="GK3" t="e">
        <f>AND(#REF!,"AAAAAHr5G8A=")</f>
        <v>#REF!</v>
      </c>
      <c r="GL3" t="e">
        <f>AND(#REF!,"AAAAAHr5G8E=")</f>
        <v>#REF!</v>
      </c>
      <c r="GM3" t="e">
        <f>AND(#REF!,"AAAAAHr5G8I=")</f>
        <v>#REF!</v>
      </c>
      <c r="GN3" t="e">
        <f>AND(#REF!,"AAAAAHr5G8M=")</f>
        <v>#REF!</v>
      </c>
      <c r="GO3" t="e">
        <f>IF(#REF!,"AAAAAHr5G8Q=",0)</f>
        <v>#REF!</v>
      </c>
      <c r="GP3" t="e">
        <f>AND(#REF!,"AAAAAHr5G8U=")</f>
        <v>#REF!</v>
      </c>
      <c r="GQ3" t="e">
        <f>AND(#REF!,"AAAAAHr5G8Y=")</f>
        <v>#REF!</v>
      </c>
      <c r="GR3" t="e">
        <f>AND(#REF!,"AAAAAHr5G8c=")</f>
        <v>#REF!</v>
      </c>
      <c r="GS3" t="e">
        <f>AND(#REF!,"AAAAAHr5G8g=")</f>
        <v>#REF!</v>
      </c>
      <c r="GT3" t="e">
        <f>AND(#REF!,"AAAAAHr5G8k=")</f>
        <v>#REF!</v>
      </c>
      <c r="GU3" t="e">
        <f>AND(#REF!,"AAAAAHr5G8o=")</f>
        <v>#REF!</v>
      </c>
      <c r="GV3" t="e">
        <f>AND(#REF!,"AAAAAHr5G8s=")</f>
        <v>#REF!</v>
      </c>
      <c r="GW3" t="e">
        <f>AND(#REF!,"AAAAAHr5G8w=")</f>
        <v>#REF!</v>
      </c>
      <c r="GX3" t="e">
        <f>AND(#REF!,"AAAAAHr5G80=")</f>
        <v>#REF!</v>
      </c>
      <c r="GY3" t="e">
        <f>AND(#REF!,"AAAAAHr5G84=")</f>
        <v>#REF!</v>
      </c>
      <c r="GZ3" t="e">
        <f>AND(#REF!,"AAAAAHr5G88=")</f>
        <v>#REF!</v>
      </c>
      <c r="HA3" t="e">
        <f>IF(#REF!,"AAAAAHr5G9A=",0)</f>
        <v>#REF!</v>
      </c>
      <c r="HB3" t="e">
        <f>AND(#REF!,"AAAAAHr5G9E=")</f>
        <v>#REF!</v>
      </c>
      <c r="HC3" t="e">
        <f>AND(#REF!,"AAAAAHr5G9I=")</f>
        <v>#REF!</v>
      </c>
      <c r="HD3" t="e">
        <f>AND(#REF!,"AAAAAHr5G9M=")</f>
        <v>#REF!</v>
      </c>
      <c r="HE3" t="e">
        <f>AND(#REF!,"AAAAAHr5G9Q=")</f>
        <v>#REF!</v>
      </c>
      <c r="HF3" t="e">
        <f>AND(#REF!,"AAAAAHr5G9U=")</f>
        <v>#REF!</v>
      </c>
      <c r="HG3" t="e">
        <f>AND(#REF!,"AAAAAHr5G9Y=")</f>
        <v>#REF!</v>
      </c>
      <c r="HH3" t="e">
        <f>AND(#REF!,"AAAAAHr5G9c=")</f>
        <v>#REF!</v>
      </c>
      <c r="HI3" t="e">
        <f>AND(#REF!,"AAAAAHr5G9g=")</f>
        <v>#REF!</v>
      </c>
      <c r="HJ3" t="e">
        <f>AND(#REF!,"AAAAAHr5G9k=")</f>
        <v>#REF!</v>
      </c>
      <c r="HK3" t="e">
        <f>AND(#REF!,"AAAAAHr5G9o=")</f>
        <v>#REF!</v>
      </c>
      <c r="HL3" t="e">
        <f>AND(#REF!,"AAAAAHr5G9s=")</f>
        <v>#REF!</v>
      </c>
      <c r="HM3" t="e">
        <f>IF(#REF!,"AAAAAHr5G9w=",0)</f>
        <v>#REF!</v>
      </c>
      <c r="HN3" t="e">
        <f>AND(#REF!,"AAAAAHr5G90=")</f>
        <v>#REF!</v>
      </c>
      <c r="HO3" t="e">
        <f>AND(#REF!,"AAAAAHr5G94=")</f>
        <v>#REF!</v>
      </c>
      <c r="HP3" t="e">
        <f>AND(#REF!,"AAAAAHr5G98=")</f>
        <v>#REF!</v>
      </c>
      <c r="HQ3" t="e">
        <f>AND(#REF!,"AAAAAHr5G+A=")</f>
        <v>#REF!</v>
      </c>
      <c r="HR3" t="e">
        <f>AND(#REF!,"AAAAAHr5G+E=")</f>
        <v>#REF!</v>
      </c>
      <c r="HS3" t="e">
        <f>AND(#REF!,"AAAAAHr5G+I=")</f>
        <v>#REF!</v>
      </c>
      <c r="HT3" t="e">
        <f>AND(#REF!,"AAAAAHr5G+M=")</f>
        <v>#REF!</v>
      </c>
      <c r="HU3" t="e">
        <f>AND(#REF!,"AAAAAHr5G+Q=")</f>
        <v>#REF!</v>
      </c>
      <c r="HV3" t="e">
        <f>AND(#REF!,"AAAAAHr5G+U=")</f>
        <v>#REF!</v>
      </c>
      <c r="HW3" t="e">
        <f>AND(#REF!,"AAAAAHr5G+Y=")</f>
        <v>#REF!</v>
      </c>
      <c r="HX3" t="e">
        <f>AND(#REF!,"AAAAAHr5G+c=")</f>
        <v>#REF!</v>
      </c>
      <c r="HY3" t="e">
        <f>IF(#REF!,"AAAAAHr5G+g=",0)</f>
        <v>#REF!</v>
      </c>
      <c r="HZ3" t="e">
        <f>AND(#REF!,"AAAAAHr5G+k=")</f>
        <v>#REF!</v>
      </c>
      <c r="IA3" t="e">
        <f>AND(#REF!,"AAAAAHr5G+o=")</f>
        <v>#REF!</v>
      </c>
      <c r="IB3" t="e">
        <f>AND(#REF!,"AAAAAHr5G+s=")</f>
        <v>#REF!</v>
      </c>
      <c r="IC3" t="e">
        <f>AND(#REF!,"AAAAAHr5G+w=")</f>
        <v>#REF!</v>
      </c>
      <c r="ID3" t="e">
        <f>AND(#REF!,"AAAAAHr5G+0=")</f>
        <v>#REF!</v>
      </c>
      <c r="IE3" t="e">
        <f>AND(#REF!,"AAAAAHr5G+4=")</f>
        <v>#REF!</v>
      </c>
      <c r="IF3" t="e">
        <f>AND(#REF!,"AAAAAHr5G+8=")</f>
        <v>#REF!</v>
      </c>
      <c r="IG3" t="e">
        <f>AND(#REF!,"AAAAAHr5G/A=")</f>
        <v>#REF!</v>
      </c>
      <c r="IH3" t="e">
        <f>AND(#REF!,"AAAAAHr5G/E=")</f>
        <v>#REF!</v>
      </c>
      <c r="II3" t="e">
        <f>AND(#REF!,"AAAAAHr5G/I=")</f>
        <v>#REF!</v>
      </c>
      <c r="IJ3" t="e">
        <f>AND(#REF!,"AAAAAHr5G/M=")</f>
        <v>#REF!</v>
      </c>
      <c r="IK3" t="e">
        <f>IF(#REF!,"AAAAAHr5G/Q=",0)</f>
        <v>#REF!</v>
      </c>
      <c r="IL3" t="e">
        <f>AND(#REF!,"AAAAAHr5G/U=")</f>
        <v>#REF!</v>
      </c>
      <c r="IM3" t="e">
        <f>AND(#REF!,"AAAAAHr5G/Y=")</f>
        <v>#REF!</v>
      </c>
      <c r="IN3" t="e">
        <f>AND(#REF!,"AAAAAHr5G/c=")</f>
        <v>#REF!</v>
      </c>
      <c r="IO3" t="e">
        <f>AND(#REF!,"AAAAAHr5G/g=")</f>
        <v>#REF!</v>
      </c>
      <c r="IP3" t="e">
        <f>AND(#REF!,"AAAAAHr5G/k=")</f>
        <v>#REF!</v>
      </c>
      <c r="IQ3" t="e">
        <f>AND(#REF!,"AAAAAHr5G/o=")</f>
        <v>#REF!</v>
      </c>
      <c r="IR3" t="e">
        <f>AND(#REF!,"AAAAAHr5G/s=")</f>
        <v>#REF!</v>
      </c>
      <c r="IS3" t="e">
        <f>AND(#REF!,"AAAAAHr5G/w=")</f>
        <v>#REF!</v>
      </c>
      <c r="IT3" t="e">
        <f>AND(#REF!,"AAAAAHr5G/0=")</f>
        <v>#REF!</v>
      </c>
      <c r="IU3" t="e">
        <f>AND(#REF!,"AAAAAHr5G/4=")</f>
        <v>#REF!</v>
      </c>
      <c r="IV3" t="e">
        <f>AND(#REF!,"AAAAAHr5G/8=")</f>
        <v>#REF!</v>
      </c>
    </row>
    <row r="4" spans="1:256" x14ac:dyDescent="0.25">
      <c r="A4" t="e">
        <f>IF(#REF!,"AAAAAHPP/wA=",0)</f>
        <v>#REF!</v>
      </c>
      <c r="B4" t="e">
        <f>AND(#REF!,"AAAAAHPP/wE=")</f>
        <v>#REF!</v>
      </c>
      <c r="C4" t="e">
        <f>AND(#REF!,"AAAAAHPP/wI=")</f>
        <v>#REF!</v>
      </c>
      <c r="D4" t="e">
        <f>AND(#REF!,"AAAAAHPP/wM=")</f>
        <v>#REF!</v>
      </c>
      <c r="E4" t="e">
        <f>AND(#REF!,"AAAAAHPP/wQ=")</f>
        <v>#REF!</v>
      </c>
      <c r="F4" t="e">
        <f>AND(#REF!,"AAAAAHPP/wU=")</f>
        <v>#REF!</v>
      </c>
      <c r="G4" t="e">
        <f>AND(#REF!,"AAAAAHPP/wY=")</f>
        <v>#REF!</v>
      </c>
      <c r="H4" t="e">
        <f>AND(#REF!,"AAAAAHPP/wc=")</f>
        <v>#REF!</v>
      </c>
      <c r="I4" t="e">
        <f>AND(#REF!,"AAAAAHPP/wg=")</f>
        <v>#REF!</v>
      </c>
      <c r="J4" t="e">
        <f>AND(#REF!,"AAAAAHPP/wk=")</f>
        <v>#REF!</v>
      </c>
      <c r="K4" t="e">
        <f>AND(#REF!,"AAAAAHPP/wo=")</f>
        <v>#REF!</v>
      </c>
      <c r="L4" t="e">
        <f>AND(#REF!,"AAAAAHPP/ws=")</f>
        <v>#REF!</v>
      </c>
      <c r="M4" t="e">
        <f>IF(#REF!,"AAAAAHPP/ww=",0)</f>
        <v>#REF!</v>
      </c>
      <c r="N4" t="e">
        <f>AND(#REF!,"AAAAAHPP/w0=")</f>
        <v>#REF!</v>
      </c>
      <c r="O4" t="e">
        <f>AND(#REF!,"AAAAAHPP/w4=")</f>
        <v>#REF!</v>
      </c>
      <c r="P4" t="e">
        <f>AND(#REF!,"AAAAAHPP/w8=")</f>
        <v>#REF!</v>
      </c>
      <c r="Q4" t="e">
        <f>AND(#REF!,"AAAAAHPP/xA=")</f>
        <v>#REF!</v>
      </c>
      <c r="R4" t="e">
        <f>AND(#REF!,"AAAAAHPP/xE=")</f>
        <v>#REF!</v>
      </c>
      <c r="S4" t="e">
        <f>AND(#REF!,"AAAAAHPP/xI=")</f>
        <v>#REF!</v>
      </c>
      <c r="T4" t="e">
        <f>AND(#REF!,"AAAAAHPP/xM=")</f>
        <v>#REF!</v>
      </c>
      <c r="U4" t="e">
        <f>AND(#REF!,"AAAAAHPP/xQ=")</f>
        <v>#REF!</v>
      </c>
      <c r="V4" t="e">
        <f>AND(#REF!,"AAAAAHPP/xU=")</f>
        <v>#REF!</v>
      </c>
      <c r="W4" t="e">
        <f>AND(#REF!,"AAAAAHPP/xY=")</f>
        <v>#REF!</v>
      </c>
      <c r="X4" t="e">
        <f>AND(#REF!,"AAAAAHPP/xc=")</f>
        <v>#REF!</v>
      </c>
      <c r="Y4" t="e">
        <f>IF(#REF!,"AAAAAHPP/xg=",0)</f>
        <v>#REF!</v>
      </c>
      <c r="Z4" t="e">
        <f>AND(#REF!,"AAAAAHPP/xk=")</f>
        <v>#REF!</v>
      </c>
      <c r="AA4" t="e">
        <f>AND(#REF!,"AAAAAHPP/xo=")</f>
        <v>#REF!</v>
      </c>
      <c r="AB4" t="e">
        <f>AND(#REF!,"AAAAAHPP/xs=")</f>
        <v>#REF!</v>
      </c>
      <c r="AC4" t="e">
        <f>AND(#REF!,"AAAAAHPP/xw=")</f>
        <v>#REF!</v>
      </c>
      <c r="AD4" t="e">
        <f>AND(#REF!,"AAAAAHPP/x0=")</f>
        <v>#REF!</v>
      </c>
      <c r="AE4" t="e">
        <f>AND(#REF!,"AAAAAHPP/x4=")</f>
        <v>#REF!</v>
      </c>
      <c r="AF4" t="e">
        <f>AND(#REF!,"AAAAAHPP/x8=")</f>
        <v>#REF!</v>
      </c>
      <c r="AG4" t="e">
        <f>AND(#REF!,"AAAAAHPP/yA=")</f>
        <v>#REF!</v>
      </c>
      <c r="AH4" t="e">
        <f>AND(#REF!,"AAAAAHPP/yE=")</f>
        <v>#REF!</v>
      </c>
      <c r="AI4" t="e">
        <f>AND(#REF!,"AAAAAHPP/yI=")</f>
        <v>#REF!</v>
      </c>
      <c r="AJ4" t="e">
        <f>AND(#REF!,"AAAAAHPP/yM=")</f>
        <v>#REF!</v>
      </c>
      <c r="AK4" t="e">
        <f>IF(#REF!,"AAAAAHPP/yQ=",0)</f>
        <v>#REF!</v>
      </c>
      <c r="AL4" t="e">
        <f>AND(#REF!,"AAAAAHPP/yU=")</f>
        <v>#REF!</v>
      </c>
      <c r="AM4" t="e">
        <f>AND(#REF!,"AAAAAHPP/yY=")</f>
        <v>#REF!</v>
      </c>
      <c r="AN4" t="e">
        <f>AND(#REF!,"AAAAAHPP/yc=")</f>
        <v>#REF!</v>
      </c>
      <c r="AO4" t="e">
        <f>AND(#REF!,"AAAAAHPP/yg=")</f>
        <v>#REF!</v>
      </c>
      <c r="AP4" t="e">
        <f>AND(#REF!,"AAAAAHPP/yk=")</f>
        <v>#REF!</v>
      </c>
      <c r="AQ4" t="e">
        <f>AND(#REF!,"AAAAAHPP/yo=")</f>
        <v>#REF!</v>
      </c>
      <c r="AR4" t="e">
        <f>AND(#REF!,"AAAAAHPP/ys=")</f>
        <v>#REF!</v>
      </c>
      <c r="AS4" t="e">
        <f>AND(#REF!,"AAAAAHPP/yw=")</f>
        <v>#REF!</v>
      </c>
      <c r="AT4" t="e">
        <f>AND(#REF!,"AAAAAHPP/y0=")</f>
        <v>#REF!</v>
      </c>
      <c r="AU4" t="e">
        <f>AND(#REF!,"AAAAAHPP/y4=")</f>
        <v>#REF!</v>
      </c>
      <c r="AV4" t="e">
        <f>AND(#REF!,"AAAAAHPP/y8=")</f>
        <v>#REF!</v>
      </c>
      <c r="AW4" t="e">
        <f>IF(#REF!,"AAAAAHPP/zA=",0)</f>
        <v>#REF!</v>
      </c>
      <c r="AX4" t="e">
        <f>AND(#REF!,"AAAAAHPP/zE=")</f>
        <v>#REF!</v>
      </c>
      <c r="AY4" t="e">
        <f>AND(#REF!,"AAAAAHPP/zI=")</f>
        <v>#REF!</v>
      </c>
      <c r="AZ4" t="e">
        <f>AND(#REF!,"AAAAAHPP/zM=")</f>
        <v>#REF!</v>
      </c>
      <c r="BA4" t="e">
        <f>AND(#REF!,"AAAAAHPP/zQ=")</f>
        <v>#REF!</v>
      </c>
      <c r="BB4" t="e">
        <f>AND(#REF!,"AAAAAHPP/zU=")</f>
        <v>#REF!</v>
      </c>
      <c r="BC4" t="e">
        <f>AND(#REF!,"AAAAAHPP/zY=")</f>
        <v>#REF!</v>
      </c>
      <c r="BD4" t="e">
        <f>AND(#REF!,"AAAAAHPP/zc=")</f>
        <v>#REF!</v>
      </c>
      <c r="BE4" t="e">
        <f>AND(#REF!,"AAAAAHPP/zg=")</f>
        <v>#REF!</v>
      </c>
      <c r="BF4" t="e">
        <f>AND(#REF!,"AAAAAHPP/zk=")</f>
        <v>#REF!</v>
      </c>
      <c r="BG4" t="e">
        <f>AND(#REF!,"AAAAAHPP/zo=")</f>
        <v>#REF!</v>
      </c>
      <c r="BH4" t="e">
        <f>AND(#REF!,"AAAAAHPP/zs=")</f>
        <v>#REF!</v>
      </c>
      <c r="BI4" t="e">
        <f>IF(#REF!,"AAAAAHPP/zw=",0)</f>
        <v>#REF!</v>
      </c>
      <c r="BJ4" t="e">
        <f>AND(#REF!,"AAAAAHPP/z0=")</f>
        <v>#REF!</v>
      </c>
      <c r="BK4" t="e">
        <f>AND(#REF!,"AAAAAHPP/z4=")</f>
        <v>#REF!</v>
      </c>
      <c r="BL4" t="e">
        <f>AND(#REF!,"AAAAAHPP/z8=")</f>
        <v>#REF!</v>
      </c>
      <c r="BM4" t="e">
        <f>AND(#REF!,"AAAAAHPP/0A=")</f>
        <v>#REF!</v>
      </c>
      <c r="BN4" t="e">
        <f>AND(#REF!,"AAAAAHPP/0E=")</f>
        <v>#REF!</v>
      </c>
      <c r="BO4" t="e">
        <f>AND(#REF!,"AAAAAHPP/0I=")</f>
        <v>#REF!</v>
      </c>
      <c r="BP4" t="e">
        <f>AND(#REF!,"AAAAAHPP/0M=")</f>
        <v>#REF!</v>
      </c>
      <c r="BQ4" t="e">
        <f>AND(#REF!,"AAAAAHPP/0Q=")</f>
        <v>#REF!</v>
      </c>
      <c r="BR4" t="e">
        <f>AND(#REF!,"AAAAAHPP/0U=")</f>
        <v>#REF!</v>
      </c>
      <c r="BS4" t="e">
        <f>AND(#REF!,"AAAAAHPP/0Y=")</f>
        <v>#REF!</v>
      </c>
      <c r="BT4" t="e">
        <f>AND(#REF!,"AAAAAHPP/0c=")</f>
        <v>#REF!</v>
      </c>
      <c r="BU4" t="e">
        <f>IF(#REF!,"AAAAAHPP/0g=",0)</f>
        <v>#REF!</v>
      </c>
      <c r="BV4" t="e">
        <f>AND(#REF!,"AAAAAHPP/0k=")</f>
        <v>#REF!</v>
      </c>
      <c r="BW4" t="e">
        <f>AND(#REF!,"AAAAAHPP/0o=")</f>
        <v>#REF!</v>
      </c>
      <c r="BX4" t="e">
        <f>AND(#REF!,"AAAAAHPP/0s=")</f>
        <v>#REF!</v>
      </c>
      <c r="BY4" t="e">
        <f>AND(#REF!,"AAAAAHPP/0w=")</f>
        <v>#REF!</v>
      </c>
      <c r="BZ4" t="e">
        <f>AND(#REF!,"AAAAAHPP/00=")</f>
        <v>#REF!</v>
      </c>
      <c r="CA4" t="e">
        <f>AND(#REF!,"AAAAAHPP/04=")</f>
        <v>#REF!</v>
      </c>
      <c r="CB4" t="e">
        <f>AND(#REF!,"AAAAAHPP/08=")</f>
        <v>#REF!</v>
      </c>
      <c r="CC4" t="e">
        <f>AND(#REF!,"AAAAAHPP/1A=")</f>
        <v>#REF!</v>
      </c>
      <c r="CD4" t="e">
        <f>AND(#REF!,"AAAAAHPP/1E=")</f>
        <v>#REF!</v>
      </c>
      <c r="CE4" t="e">
        <f>AND(#REF!,"AAAAAHPP/1I=")</f>
        <v>#REF!</v>
      </c>
      <c r="CF4" t="e">
        <f>AND(#REF!,"AAAAAHPP/1M=")</f>
        <v>#REF!</v>
      </c>
      <c r="CG4" t="e">
        <f>IF(#REF!,"AAAAAHPP/1Q=",0)</f>
        <v>#REF!</v>
      </c>
      <c r="CH4" t="e">
        <f>AND(#REF!,"AAAAAHPP/1U=")</f>
        <v>#REF!</v>
      </c>
      <c r="CI4" t="e">
        <f>AND(#REF!,"AAAAAHPP/1Y=")</f>
        <v>#REF!</v>
      </c>
      <c r="CJ4" t="e">
        <f>AND(#REF!,"AAAAAHPP/1c=")</f>
        <v>#REF!</v>
      </c>
      <c r="CK4" t="e">
        <f>AND(#REF!,"AAAAAHPP/1g=")</f>
        <v>#REF!</v>
      </c>
      <c r="CL4" t="e">
        <f>AND(#REF!,"AAAAAHPP/1k=")</f>
        <v>#REF!</v>
      </c>
      <c r="CM4" t="e">
        <f>AND(#REF!,"AAAAAHPP/1o=")</f>
        <v>#REF!</v>
      </c>
      <c r="CN4" t="e">
        <f>AND(#REF!,"AAAAAHPP/1s=")</f>
        <v>#REF!</v>
      </c>
      <c r="CO4" t="e">
        <f>AND(#REF!,"AAAAAHPP/1w=")</f>
        <v>#REF!</v>
      </c>
      <c r="CP4" t="e">
        <f>AND(#REF!,"AAAAAHPP/10=")</f>
        <v>#REF!</v>
      </c>
      <c r="CQ4" t="e">
        <f>AND(#REF!,"AAAAAHPP/14=")</f>
        <v>#REF!</v>
      </c>
      <c r="CR4" t="e">
        <f>AND(#REF!,"AAAAAHPP/18=")</f>
        <v>#REF!</v>
      </c>
      <c r="CS4" t="e">
        <f>IF(#REF!,"AAAAAHPP/2A=",0)</f>
        <v>#REF!</v>
      </c>
      <c r="CT4" t="e">
        <f>AND(#REF!,"AAAAAHPP/2E=")</f>
        <v>#REF!</v>
      </c>
      <c r="CU4" t="e">
        <f>AND(#REF!,"AAAAAHPP/2I=")</f>
        <v>#REF!</v>
      </c>
      <c r="CV4" t="e">
        <f>AND(#REF!,"AAAAAHPP/2M=")</f>
        <v>#REF!</v>
      </c>
      <c r="CW4" t="e">
        <f>AND(#REF!,"AAAAAHPP/2Q=")</f>
        <v>#REF!</v>
      </c>
      <c r="CX4" t="e">
        <f>AND(#REF!,"AAAAAHPP/2U=")</f>
        <v>#REF!</v>
      </c>
      <c r="CY4" t="e">
        <f>AND(#REF!,"AAAAAHPP/2Y=")</f>
        <v>#REF!</v>
      </c>
      <c r="CZ4" t="e">
        <f>AND(#REF!,"AAAAAHPP/2c=")</f>
        <v>#REF!</v>
      </c>
      <c r="DA4" t="e">
        <f>AND(#REF!,"AAAAAHPP/2g=")</f>
        <v>#REF!</v>
      </c>
      <c r="DB4" t="e">
        <f>AND(#REF!,"AAAAAHPP/2k=")</f>
        <v>#REF!</v>
      </c>
      <c r="DC4" t="e">
        <f>AND(#REF!,"AAAAAHPP/2o=")</f>
        <v>#REF!</v>
      </c>
      <c r="DD4" t="e">
        <f>AND(#REF!,"AAAAAHPP/2s=")</f>
        <v>#REF!</v>
      </c>
      <c r="DE4" t="e">
        <f>IF(#REF!,"AAAAAHPP/2w=",0)</f>
        <v>#REF!</v>
      </c>
      <c r="DF4" t="e">
        <f>AND(#REF!,"AAAAAHPP/20=")</f>
        <v>#REF!</v>
      </c>
      <c r="DG4" t="e">
        <f>AND(#REF!,"AAAAAHPP/24=")</f>
        <v>#REF!</v>
      </c>
      <c r="DH4" t="e">
        <f>AND(#REF!,"AAAAAHPP/28=")</f>
        <v>#REF!</v>
      </c>
      <c r="DI4" t="e">
        <f>AND(#REF!,"AAAAAHPP/3A=")</f>
        <v>#REF!</v>
      </c>
      <c r="DJ4" t="e">
        <f>AND(#REF!,"AAAAAHPP/3E=")</f>
        <v>#REF!</v>
      </c>
      <c r="DK4" t="e">
        <f>AND(#REF!,"AAAAAHPP/3I=")</f>
        <v>#REF!</v>
      </c>
      <c r="DL4" t="e">
        <f>AND(#REF!,"AAAAAHPP/3M=")</f>
        <v>#REF!</v>
      </c>
      <c r="DM4" t="e">
        <f>AND(#REF!,"AAAAAHPP/3Q=")</f>
        <v>#REF!</v>
      </c>
      <c r="DN4" t="e">
        <f>AND(#REF!,"AAAAAHPP/3U=")</f>
        <v>#REF!</v>
      </c>
      <c r="DO4" t="e">
        <f>AND(#REF!,"AAAAAHPP/3Y=")</f>
        <v>#REF!</v>
      </c>
      <c r="DP4" t="e">
        <f>AND(#REF!,"AAAAAHPP/3c=")</f>
        <v>#REF!</v>
      </c>
      <c r="DQ4" t="e">
        <f>IF(#REF!,"AAAAAHPP/3g=",0)</f>
        <v>#REF!</v>
      </c>
      <c r="DR4" t="e">
        <f>AND(#REF!,"AAAAAHPP/3k=")</f>
        <v>#REF!</v>
      </c>
      <c r="DS4" t="e">
        <f>AND(#REF!,"AAAAAHPP/3o=")</f>
        <v>#REF!</v>
      </c>
      <c r="DT4" t="e">
        <f>AND(#REF!,"AAAAAHPP/3s=")</f>
        <v>#REF!</v>
      </c>
      <c r="DU4" t="e">
        <f>AND(#REF!,"AAAAAHPP/3w=")</f>
        <v>#REF!</v>
      </c>
      <c r="DV4" t="e">
        <f>AND(#REF!,"AAAAAHPP/30=")</f>
        <v>#REF!</v>
      </c>
      <c r="DW4" t="e">
        <f>AND(#REF!,"AAAAAHPP/34=")</f>
        <v>#REF!</v>
      </c>
      <c r="DX4" t="e">
        <f>AND(#REF!,"AAAAAHPP/38=")</f>
        <v>#REF!</v>
      </c>
      <c r="DY4" t="e">
        <f>AND(#REF!,"AAAAAHPP/4A=")</f>
        <v>#REF!</v>
      </c>
      <c r="DZ4" t="e">
        <f>AND(#REF!,"AAAAAHPP/4E=")</f>
        <v>#REF!</v>
      </c>
      <c r="EA4" t="e">
        <f>AND(#REF!,"AAAAAHPP/4I=")</f>
        <v>#REF!</v>
      </c>
      <c r="EB4" t="e">
        <f>AND(#REF!,"AAAAAHPP/4M=")</f>
        <v>#REF!</v>
      </c>
      <c r="EC4" t="e">
        <f>IF(#REF!,"AAAAAHPP/4Q=",0)</f>
        <v>#REF!</v>
      </c>
      <c r="ED4" t="e">
        <f>AND(#REF!,"AAAAAHPP/4U=")</f>
        <v>#REF!</v>
      </c>
      <c r="EE4" t="e">
        <f>AND(#REF!,"AAAAAHPP/4Y=")</f>
        <v>#REF!</v>
      </c>
      <c r="EF4" t="e">
        <f>AND(#REF!,"AAAAAHPP/4c=")</f>
        <v>#REF!</v>
      </c>
      <c r="EG4" t="e">
        <f>AND(#REF!,"AAAAAHPP/4g=")</f>
        <v>#REF!</v>
      </c>
      <c r="EH4" t="e">
        <f>AND(#REF!,"AAAAAHPP/4k=")</f>
        <v>#REF!</v>
      </c>
      <c r="EI4" t="e">
        <f>AND(#REF!,"AAAAAHPP/4o=")</f>
        <v>#REF!</v>
      </c>
      <c r="EJ4" t="e">
        <f>AND(#REF!,"AAAAAHPP/4s=")</f>
        <v>#REF!</v>
      </c>
      <c r="EK4" t="e">
        <f>AND(#REF!,"AAAAAHPP/4w=")</f>
        <v>#REF!</v>
      </c>
      <c r="EL4" t="e">
        <f>AND(#REF!,"AAAAAHPP/40=")</f>
        <v>#REF!</v>
      </c>
      <c r="EM4" t="e">
        <f>AND(#REF!,"AAAAAHPP/44=")</f>
        <v>#REF!</v>
      </c>
      <c r="EN4" t="e">
        <f>AND(#REF!,"AAAAAHPP/48=")</f>
        <v>#REF!</v>
      </c>
      <c r="EO4" t="e">
        <f>IF(#REF!,"AAAAAHPP/5A=",0)</f>
        <v>#REF!</v>
      </c>
      <c r="EP4" t="e">
        <f>AND(#REF!,"AAAAAHPP/5E=")</f>
        <v>#REF!</v>
      </c>
      <c r="EQ4" t="e">
        <f>AND(#REF!,"AAAAAHPP/5I=")</f>
        <v>#REF!</v>
      </c>
      <c r="ER4" t="e">
        <f>AND(#REF!,"AAAAAHPP/5M=")</f>
        <v>#REF!</v>
      </c>
      <c r="ES4" t="e">
        <f>AND(#REF!,"AAAAAHPP/5Q=")</f>
        <v>#REF!</v>
      </c>
      <c r="ET4" t="e">
        <f>AND(#REF!,"AAAAAHPP/5U=")</f>
        <v>#REF!</v>
      </c>
      <c r="EU4" t="e">
        <f>AND(#REF!,"AAAAAHPP/5Y=")</f>
        <v>#REF!</v>
      </c>
      <c r="EV4" t="e">
        <f>AND(#REF!,"AAAAAHPP/5c=")</f>
        <v>#REF!</v>
      </c>
      <c r="EW4" t="e">
        <f>AND(#REF!,"AAAAAHPP/5g=")</f>
        <v>#REF!</v>
      </c>
      <c r="EX4" t="e">
        <f>AND(#REF!,"AAAAAHPP/5k=")</f>
        <v>#REF!</v>
      </c>
      <c r="EY4" t="e">
        <f>AND(#REF!,"AAAAAHPP/5o=")</f>
        <v>#REF!</v>
      </c>
      <c r="EZ4" t="e">
        <f>AND(#REF!,"AAAAAHPP/5s=")</f>
        <v>#REF!</v>
      </c>
      <c r="FA4" t="e">
        <f>IF(#REF!,"AAAAAHPP/5w=",0)</f>
        <v>#REF!</v>
      </c>
      <c r="FB4" t="e">
        <f>AND(#REF!,"AAAAAHPP/50=")</f>
        <v>#REF!</v>
      </c>
      <c r="FC4" t="e">
        <f>AND(#REF!,"AAAAAHPP/54=")</f>
        <v>#REF!</v>
      </c>
      <c r="FD4" t="e">
        <f>AND(#REF!,"AAAAAHPP/58=")</f>
        <v>#REF!</v>
      </c>
      <c r="FE4" t="e">
        <f>AND(#REF!,"AAAAAHPP/6A=")</f>
        <v>#REF!</v>
      </c>
      <c r="FF4" t="e">
        <f>AND(#REF!,"AAAAAHPP/6E=")</f>
        <v>#REF!</v>
      </c>
      <c r="FG4" t="e">
        <f>AND(#REF!,"AAAAAHPP/6I=")</f>
        <v>#REF!</v>
      </c>
      <c r="FH4" t="e">
        <f>AND(#REF!,"AAAAAHPP/6M=")</f>
        <v>#REF!</v>
      </c>
      <c r="FI4" t="e">
        <f>AND(#REF!,"AAAAAHPP/6Q=")</f>
        <v>#REF!</v>
      </c>
      <c r="FJ4" t="e">
        <f>AND(#REF!,"AAAAAHPP/6U=")</f>
        <v>#REF!</v>
      </c>
      <c r="FK4" t="e">
        <f>AND(#REF!,"AAAAAHPP/6Y=")</f>
        <v>#REF!</v>
      </c>
      <c r="FL4" t="e">
        <f>AND(#REF!,"AAAAAHPP/6c=")</f>
        <v>#REF!</v>
      </c>
      <c r="FM4" t="e">
        <f>IF(#REF!,"AAAAAHPP/6g=",0)</f>
        <v>#REF!</v>
      </c>
      <c r="FN4" t="e">
        <f>AND(#REF!,"AAAAAHPP/6k=")</f>
        <v>#REF!</v>
      </c>
      <c r="FO4" t="e">
        <f>AND(#REF!,"AAAAAHPP/6o=")</f>
        <v>#REF!</v>
      </c>
      <c r="FP4" t="e">
        <f>AND(#REF!,"AAAAAHPP/6s=")</f>
        <v>#REF!</v>
      </c>
      <c r="FQ4" t="e">
        <f>AND(#REF!,"AAAAAHPP/6w=")</f>
        <v>#REF!</v>
      </c>
      <c r="FR4" t="e">
        <f>AND(#REF!,"AAAAAHPP/60=")</f>
        <v>#REF!</v>
      </c>
      <c r="FS4" t="e">
        <f>AND(#REF!,"AAAAAHPP/64=")</f>
        <v>#REF!</v>
      </c>
      <c r="FT4" t="e">
        <f>AND(#REF!,"AAAAAHPP/68=")</f>
        <v>#REF!</v>
      </c>
      <c r="FU4" t="e">
        <f>AND(#REF!,"AAAAAHPP/7A=")</f>
        <v>#REF!</v>
      </c>
      <c r="FV4" t="e">
        <f>AND(#REF!,"AAAAAHPP/7E=")</f>
        <v>#REF!</v>
      </c>
      <c r="FW4" t="e">
        <f>AND(#REF!,"AAAAAHPP/7I=")</f>
        <v>#REF!</v>
      </c>
      <c r="FX4" t="e">
        <f>AND(#REF!,"AAAAAHPP/7M=")</f>
        <v>#REF!</v>
      </c>
      <c r="FY4" t="e">
        <f>IF(#REF!,"AAAAAHPP/7Q=",0)</f>
        <v>#REF!</v>
      </c>
      <c r="FZ4" t="e">
        <f>AND(#REF!,"AAAAAHPP/7U=")</f>
        <v>#REF!</v>
      </c>
      <c r="GA4" t="e">
        <f>AND(#REF!,"AAAAAHPP/7Y=")</f>
        <v>#REF!</v>
      </c>
      <c r="GB4" t="e">
        <f>AND(#REF!,"AAAAAHPP/7c=")</f>
        <v>#REF!</v>
      </c>
      <c r="GC4" t="e">
        <f>AND(#REF!,"AAAAAHPP/7g=")</f>
        <v>#REF!</v>
      </c>
      <c r="GD4" t="e">
        <f>AND(#REF!,"AAAAAHPP/7k=")</f>
        <v>#REF!</v>
      </c>
      <c r="GE4" t="e">
        <f>AND(#REF!,"AAAAAHPP/7o=")</f>
        <v>#REF!</v>
      </c>
      <c r="GF4" t="e">
        <f>AND(#REF!,"AAAAAHPP/7s=")</f>
        <v>#REF!</v>
      </c>
      <c r="GG4" t="e">
        <f>AND(#REF!,"AAAAAHPP/7w=")</f>
        <v>#REF!</v>
      </c>
      <c r="GH4" t="e">
        <f>AND(#REF!,"AAAAAHPP/70=")</f>
        <v>#REF!</v>
      </c>
      <c r="GI4" t="e">
        <f>AND(#REF!,"AAAAAHPP/74=")</f>
        <v>#REF!</v>
      </c>
      <c r="GJ4" t="e">
        <f>AND(#REF!,"AAAAAHPP/78=")</f>
        <v>#REF!</v>
      </c>
      <c r="GK4" t="e">
        <f>IF(#REF!,"AAAAAHPP/8A=",0)</f>
        <v>#REF!</v>
      </c>
      <c r="GL4" t="e">
        <f>AND(#REF!,"AAAAAHPP/8E=")</f>
        <v>#REF!</v>
      </c>
      <c r="GM4" t="e">
        <f>AND(#REF!,"AAAAAHPP/8I=")</f>
        <v>#REF!</v>
      </c>
      <c r="GN4" t="e">
        <f>AND(#REF!,"AAAAAHPP/8M=")</f>
        <v>#REF!</v>
      </c>
      <c r="GO4" t="e">
        <f>AND(#REF!,"AAAAAHPP/8Q=")</f>
        <v>#REF!</v>
      </c>
      <c r="GP4" t="e">
        <f>AND(#REF!,"AAAAAHPP/8U=")</f>
        <v>#REF!</v>
      </c>
      <c r="GQ4" t="e">
        <f>AND(#REF!,"AAAAAHPP/8Y=")</f>
        <v>#REF!</v>
      </c>
      <c r="GR4" t="e">
        <f>AND(#REF!,"AAAAAHPP/8c=")</f>
        <v>#REF!</v>
      </c>
      <c r="GS4" t="e">
        <f>AND(#REF!,"AAAAAHPP/8g=")</f>
        <v>#REF!</v>
      </c>
      <c r="GT4" t="e">
        <f>AND(#REF!,"AAAAAHPP/8k=")</f>
        <v>#REF!</v>
      </c>
      <c r="GU4" t="e">
        <f>AND(#REF!,"AAAAAHPP/8o=")</f>
        <v>#REF!</v>
      </c>
      <c r="GV4" t="e">
        <f>AND(#REF!,"AAAAAHPP/8s=")</f>
        <v>#REF!</v>
      </c>
      <c r="GW4" t="e">
        <f>IF(#REF!,"AAAAAHPP/8w=",0)</f>
        <v>#REF!</v>
      </c>
      <c r="GX4" t="e">
        <f>AND(#REF!,"AAAAAHPP/80=")</f>
        <v>#REF!</v>
      </c>
      <c r="GY4" t="e">
        <f>AND(#REF!,"AAAAAHPP/84=")</f>
        <v>#REF!</v>
      </c>
      <c r="GZ4" t="e">
        <f>AND(#REF!,"AAAAAHPP/88=")</f>
        <v>#REF!</v>
      </c>
      <c r="HA4" t="e">
        <f>AND(#REF!,"AAAAAHPP/9A=")</f>
        <v>#REF!</v>
      </c>
      <c r="HB4" t="e">
        <f>AND(#REF!,"AAAAAHPP/9E=")</f>
        <v>#REF!</v>
      </c>
      <c r="HC4" t="e">
        <f>AND(#REF!,"AAAAAHPP/9I=")</f>
        <v>#REF!</v>
      </c>
      <c r="HD4" t="e">
        <f>AND(#REF!,"AAAAAHPP/9M=")</f>
        <v>#REF!</v>
      </c>
      <c r="HE4" t="e">
        <f>AND(#REF!,"AAAAAHPP/9Q=")</f>
        <v>#REF!</v>
      </c>
      <c r="HF4" t="e">
        <f>AND(#REF!,"AAAAAHPP/9U=")</f>
        <v>#REF!</v>
      </c>
      <c r="HG4" t="e">
        <f>AND(#REF!,"AAAAAHPP/9Y=")</f>
        <v>#REF!</v>
      </c>
      <c r="HH4" t="e">
        <f>AND(#REF!,"AAAAAHPP/9c=")</f>
        <v>#REF!</v>
      </c>
      <c r="HI4" t="e">
        <f>IF(#REF!,"AAAAAHPP/9g=",0)</f>
        <v>#REF!</v>
      </c>
      <c r="HJ4" t="e">
        <f>AND(#REF!,"AAAAAHPP/9k=")</f>
        <v>#REF!</v>
      </c>
      <c r="HK4" t="e">
        <f>AND(#REF!,"AAAAAHPP/9o=")</f>
        <v>#REF!</v>
      </c>
      <c r="HL4" t="e">
        <f>AND(#REF!,"AAAAAHPP/9s=")</f>
        <v>#REF!</v>
      </c>
      <c r="HM4" t="e">
        <f>AND(#REF!,"AAAAAHPP/9w=")</f>
        <v>#REF!</v>
      </c>
      <c r="HN4" t="e">
        <f>AND(#REF!,"AAAAAHPP/90=")</f>
        <v>#REF!</v>
      </c>
      <c r="HO4" t="e">
        <f>AND(#REF!,"AAAAAHPP/94=")</f>
        <v>#REF!</v>
      </c>
      <c r="HP4" t="e">
        <f>AND(#REF!,"AAAAAHPP/98=")</f>
        <v>#REF!</v>
      </c>
      <c r="HQ4" t="e">
        <f>AND(#REF!,"AAAAAHPP/+A=")</f>
        <v>#REF!</v>
      </c>
      <c r="HR4" t="e">
        <f>AND(#REF!,"AAAAAHPP/+E=")</f>
        <v>#REF!</v>
      </c>
      <c r="HS4" t="e">
        <f>AND(#REF!,"AAAAAHPP/+I=")</f>
        <v>#REF!</v>
      </c>
      <c r="HT4" t="e">
        <f>AND(#REF!,"AAAAAHPP/+M=")</f>
        <v>#REF!</v>
      </c>
      <c r="HU4" t="e">
        <f>IF(#REF!,"AAAAAHPP/+Q=",0)</f>
        <v>#REF!</v>
      </c>
      <c r="HV4" t="e">
        <f>AND(#REF!,"AAAAAHPP/+U=")</f>
        <v>#REF!</v>
      </c>
      <c r="HW4" t="e">
        <f>AND(#REF!,"AAAAAHPP/+Y=")</f>
        <v>#REF!</v>
      </c>
      <c r="HX4" t="e">
        <f>AND(#REF!,"AAAAAHPP/+c=")</f>
        <v>#REF!</v>
      </c>
      <c r="HY4" t="e">
        <f>AND(#REF!,"AAAAAHPP/+g=")</f>
        <v>#REF!</v>
      </c>
      <c r="HZ4" t="e">
        <f>AND(#REF!,"AAAAAHPP/+k=")</f>
        <v>#REF!</v>
      </c>
      <c r="IA4" t="e">
        <f>AND(#REF!,"AAAAAHPP/+o=")</f>
        <v>#REF!</v>
      </c>
      <c r="IB4" t="e">
        <f>AND(#REF!,"AAAAAHPP/+s=")</f>
        <v>#REF!</v>
      </c>
      <c r="IC4" t="e">
        <f>AND(#REF!,"AAAAAHPP/+w=")</f>
        <v>#REF!</v>
      </c>
      <c r="ID4" t="e">
        <f>AND(#REF!,"AAAAAHPP/+0=")</f>
        <v>#REF!</v>
      </c>
      <c r="IE4" t="e">
        <f>AND(#REF!,"AAAAAHPP/+4=")</f>
        <v>#REF!</v>
      </c>
      <c r="IF4" t="e">
        <f>AND(#REF!,"AAAAAHPP/+8=")</f>
        <v>#REF!</v>
      </c>
      <c r="IG4" t="e">
        <f>IF(#REF!,"AAAAAHPP//A=",0)</f>
        <v>#REF!</v>
      </c>
      <c r="IH4" t="e">
        <f>AND(#REF!,"AAAAAHPP//E=")</f>
        <v>#REF!</v>
      </c>
      <c r="II4" t="e">
        <f>AND(#REF!,"AAAAAHPP//I=")</f>
        <v>#REF!</v>
      </c>
      <c r="IJ4" t="e">
        <f>AND(#REF!,"AAAAAHPP//M=")</f>
        <v>#REF!</v>
      </c>
      <c r="IK4" t="e">
        <f>AND(#REF!,"AAAAAHPP//Q=")</f>
        <v>#REF!</v>
      </c>
      <c r="IL4" t="e">
        <f>AND(#REF!,"AAAAAHPP//U=")</f>
        <v>#REF!</v>
      </c>
      <c r="IM4" t="e">
        <f>AND(#REF!,"AAAAAHPP//Y=")</f>
        <v>#REF!</v>
      </c>
      <c r="IN4" t="e">
        <f>AND(#REF!,"AAAAAHPP//c=")</f>
        <v>#REF!</v>
      </c>
      <c r="IO4" t="e">
        <f>AND(#REF!,"AAAAAHPP//g=")</f>
        <v>#REF!</v>
      </c>
      <c r="IP4" t="e">
        <f>AND(#REF!,"AAAAAHPP//k=")</f>
        <v>#REF!</v>
      </c>
      <c r="IQ4" t="e">
        <f>AND(#REF!,"AAAAAHPP//o=")</f>
        <v>#REF!</v>
      </c>
      <c r="IR4" t="e">
        <f>AND(#REF!,"AAAAAHPP//s=")</f>
        <v>#REF!</v>
      </c>
      <c r="IS4" t="e">
        <f>IF(#REF!,"AAAAAHPP//w=",0)</f>
        <v>#REF!</v>
      </c>
      <c r="IT4" t="e">
        <f>AND(#REF!,"AAAAAHPP//0=")</f>
        <v>#REF!</v>
      </c>
      <c r="IU4" t="e">
        <f>AND(#REF!,"AAAAAHPP//4=")</f>
        <v>#REF!</v>
      </c>
      <c r="IV4" t="e">
        <f>AND(#REF!,"AAAAAHPP//8=")</f>
        <v>#REF!</v>
      </c>
    </row>
    <row r="5" spans="1:256" x14ac:dyDescent="0.25">
      <c r="A5" t="e">
        <f>AND(#REF!,"AAAAABvX7wA=")</f>
        <v>#REF!</v>
      </c>
      <c r="B5" t="e">
        <f>AND(#REF!,"AAAAABvX7wE=")</f>
        <v>#REF!</v>
      </c>
      <c r="C5" t="e">
        <f>AND(#REF!,"AAAAABvX7wI=")</f>
        <v>#REF!</v>
      </c>
      <c r="D5" t="e">
        <f>AND(#REF!,"AAAAABvX7wM=")</f>
        <v>#REF!</v>
      </c>
      <c r="E5" t="e">
        <f>AND(#REF!,"AAAAABvX7wQ=")</f>
        <v>#REF!</v>
      </c>
      <c r="F5" t="e">
        <f>AND(#REF!,"AAAAABvX7wU=")</f>
        <v>#REF!</v>
      </c>
      <c r="G5" t="e">
        <f>AND(#REF!,"AAAAABvX7wY=")</f>
        <v>#REF!</v>
      </c>
      <c r="H5" t="e">
        <f>AND(#REF!,"AAAAABvX7wc=")</f>
        <v>#REF!</v>
      </c>
      <c r="I5" t="e">
        <f>IF(#REF!,"AAAAABvX7wg=",0)</f>
        <v>#REF!</v>
      </c>
      <c r="J5" t="e">
        <f>AND(#REF!,"AAAAABvX7wk=")</f>
        <v>#REF!</v>
      </c>
      <c r="K5" t="e">
        <f>AND(#REF!,"AAAAABvX7wo=")</f>
        <v>#REF!</v>
      </c>
      <c r="L5" t="e">
        <f>AND(#REF!,"AAAAABvX7ws=")</f>
        <v>#REF!</v>
      </c>
      <c r="M5" t="e">
        <f>AND(#REF!,"AAAAABvX7ww=")</f>
        <v>#REF!</v>
      </c>
      <c r="N5" t="e">
        <f>AND(#REF!,"AAAAABvX7w0=")</f>
        <v>#REF!</v>
      </c>
      <c r="O5" t="e">
        <f>AND(#REF!,"AAAAABvX7w4=")</f>
        <v>#REF!</v>
      </c>
      <c r="P5" t="e">
        <f>AND(#REF!,"AAAAABvX7w8=")</f>
        <v>#REF!</v>
      </c>
      <c r="Q5" t="e">
        <f>AND(#REF!,"AAAAABvX7xA=")</f>
        <v>#REF!</v>
      </c>
      <c r="R5" t="e">
        <f>AND(#REF!,"AAAAABvX7xE=")</f>
        <v>#REF!</v>
      </c>
      <c r="S5" t="e">
        <f>AND(#REF!,"AAAAABvX7xI=")</f>
        <v>#REF!</v>
      </c>
      <c r="T5" t="e">
        <f>AND(#REF!,"AAAAABvX7xM=")</f>
        <v>#REF!</v>
      </c>
      <c r="U5" t="e">
        <f>IF(#REF!,"AAAAABvX7xQ=",0)</f>
        <v>#REF!</v>
      </c>
      <c r="V5" t="e">
        <f>AND(#REF!,"AAAAABvX7xU=")</f>
        <v>#REF!</v>
      </c>
      <c r="W5" t="e">
        <f>AND(#REF!,"AAAAABvX7xY=")</f>
        <v>#REF!</v>
      </c>
      <c r="X5" t="e">
        <f>AND(#REF!,"AAAAABvX7xc=")</f>
        <v>#REF!</v>
      </c>
      <c r="Y5" t="e">
        <f>AND(#REF!,"AAAAABvX7xg=")</f>
        <v>#REF!</v>
      </c>
      <c r="Z5" t="e">
        <f>AND(#REF!,"AAAAABvX7xk=")</f>
        <v>#REF!</v>
      </c>
      <c r="AA5" t="e">
        <f>AND(#REF!,"AAAAABvX7xo=")</f>
        <v>#REF!</v>
      </c>
      <c r="AB5" t="e">
        <f>AND(#REF!,"AAAAABvX7xs=")</f>
        <v>#REF!</v>
      </c>
      <c r="AC5" t="e">
        <f>AND(#REF!,"AAAAABvX7xw=")</f>
        <v>#REF!</v>
      </c>
      <c r="AD5" t="e">
        <f>AND(#REF!,"AAAAABvX7x0=")</f>
        <v>#REF!</v>
      </c>
      <c r="AE5" t="e">
        <f>AND(#REF!,"AAAAABvX7x4=")</f>
        <v>#REF!</v>
      </c>
      <c r="AF5" t="e">
        <f>AND(#REF!,"AAAAABvX7x8=")</f>
        <v>#REF!</v>
      </c>
      <c r="AG5" t="e">
        <f>IF(#REF!,"AAAAABvX7yA=",0)</f>
        <v>#REF!</v>
      </c>
      <c r="AH5" t="e">
        <f>AND(#REF!,"AAAAABvX7yE=")</f>
        <v>#REF!</v>
      </c>
      <c r="AI5" t="e">
        <f>AND(#REF!,"AAAAABvX7yI=")</f>
        <v>#REF!</v>
      </c>
      <c r="AJ5" t="e">
        <f>AND(#REF!,"AAAAABvX7yM=")</f>
        <v>#REF!</v>
      </c>
      <c r="AK5" t="e">
        <f>AND(#REF!,"AAAAABvX7yQ=")</f>
        <v>#REF!</v>
      </c>
      <c r="AL5" t="e">
        <f>AND(#REF!,"AAAAABvX7yU=")</f>
        <v>#REF!</v>
      </c>
      <c r="AM5" t="e">
        <f>AND(#REF!,"AAAAABvX7yY=")</f>
        <v>#REF!</v>
      </c>
      <c r="AN5" t="e">
        <f>AND(#REF!,"AAAAABvX7yc=")</f>
        <v>#REF!</v>
      </c>
      <c r="AO5" t="e">
        <f>AND(#REF!,"AAAAABvX7yg=")</f>
        <v>#REF!</v>
      </c>
      <c r="AP5" t="e">
        <f>AND(#REF!,"AAAAABvX7yk=")</f>
        <v>#REF!</v>
      </c>
      <c r="AQ5" t="e">
        <f>AND(#REF!,"AAAAABvX7yo=")</f>
        <v>#REF!</v>
      </c>
      <c r="AR5" t="e">
        <f>AND(#REF!,"AAAAABvX7ys=")</f>
        <v>#REF!</v>
      </c>
      <c r="AS5" t="e">
        <f>IF(#REF!,"AAAAABvX7yw=",0)</f>
        <v>#REF!</v>
      </c>
      <c r="AT5" t="e">
        <f>AND(#REF!,"AAAAABvX7y0=")</f>
        <v>#REF!</v>
      </c>
      <c r="AU5" t="e">
        <f>AND(#REF!,"AAAAABvX7y4=")</f>
        <v>#REF!</v>
      </c>
      <c r="AV5" t="e">
        <f>AND(#REF!,"AAAAABvX7y8=")</f>
        <v>#REF!</v>
      </c>
      <c r="AW5" t="e">
        <f>AND(#REF!,"AAAAABvX7zA=")</f>
        <v>#REF!</v>
      </c>
      <c r="AX5" t="e">
        <f>AND(#REF!,"AAAAABvX7zE=")</f>
        <v>#REF!</v>
      </c>
      <c r="AY5" t="e">
        <f>AND(#REF!,"AAAAABvX7zI=")</f>
        <v>#REF!</v>
      </c>
      <c r="AZ5" t="e">
        <f>AND(#REF!,"AAAAABvX7zM=")</f>
        <v>#REF!</v>
      </c>
      <c r="BA5" t="e">
        <f>AND(#REF!,"AAAAABvX7zQ=")</f>
        <v>#REF!</v>
      </c>
      <c r="BB5" t="e">
        <f>AND(#REF!,"AAAAABvX7zU=")</f>
        <v>#REF!</v>
      </c>
      <c r="BC5" t="e">
        <f>AND(#REF!,"AAAAABvX7zY=")</f>
        <v>#REF!</v>
      </c>
      <c r="BD5" t="e">
        <f>AND(#REF!,"AAAAABvX7zc=")</f>
        <v>#REF!</v>
      </c>
      <c r="BE5" t="e">
        <f>IF(#REF!,"AAAAABvX7zg=",0)</f>
        <v>#REF!</v>
      </c>
      <c r="BF5" t="e">
        <f>AND(#REF!,"AAAAABvX7zk=")</f>
        <v>#REF!</v>
      </c>
      <c r="BG5" t="e">
        <f>AND(#REF!,"AAAAABvX7zo=")</f>
        <v>#REF!</v>
      </c>
      <c r="BH5" t="e">
        <f>AND(#REF!,"AAAAABvX7zs=")</f>
        <v>#REF!</v>
      </c>
      <c r="BI5" t="e">
        <f>AND(#REF!,"AAAAABvX7zw=")</f>
        <v>#REF!</v>
      </c>
      <c r="BJ5" t="e">
        <f>AND(#REF!,"AAAAABvX7z0=")</f>
        <v>#REF!</v>
      </c>
      <c r="BK5" t="e">
        <f>AND(#REF!,"AAAAABvX7z4=")</f>
        <v>#REF!</v>
      </c>
      <c r="BL5" t="e">
        <f>AND(#REF!,"AAAAABvX7z8=")</f>
        <v>#REF!</v>
      </c>
      <c r="BM5" t="e">
        <f>AND(#REF!,"AAAAABvX70A=")</f>
        <v>#REF!</v>
      </c>
      <c r="BN5" t="e">
        <f>AND(#REF!,"AAAAABvX70E=")</f>
        <v>#REF!</v>
      </c>
      <c r="BO5" t="e">
        <f>AND(#REF!,"AAAAABvX70I=")</f>
        <v>#REF!</v>
      </c>
      <c r="BP5" t="e">
        <f>AND(#REF!,"AAAAABvX70M=")</f>
        <v>#REF!</v>
      </c>
      <c r="BQ5" t="e">
        <f>IF(#REF!,"AAAAABvX70Q=",0)</f>
        <v>#REF!</v>
      </c>
      <c r="BR5" t="e">
        <f>AND(#REF!,"AAAAABvX70U=")</f>
        <v>#REF!</v>
      </c>
      <c r="BS5" t="e">
        <f>AND(#REF!,"AAAAABvX70Y=")</f>
        <v>#REF!</v>
      </c>
      <c r="BT5" t="e">
        <f>AND(#REF!,"AAAAABvX70c=")</f>
        <v>#REF!</v>
      </c>
      <c r="BU5" t="e">
        <f>AND(#REF!,"AAAAABvX70g=")</f>
        <v>#REF!</v>
      </c>
      <c r="BV5" t="e">
        <f>AND(#REF!,"AAAAABvX70k=")</f>
        <v>#REF!</v>
      </c>
      <c r="BW5" t="e">
        <f>AND(#REF!,"AAAAABvX70o=")</f>
        <v>#REF!</v>
      </c>
      <c r="BX5" t="e">
        <f>AND(#REF!,"AAAAABvX70s=")</f>
        <v>#REF!</v>
      </c>
      <c r="BY5" t="e">
        <f>AND(#REF!,"AAAAABvX70w=")</f>
        <v>#REF!</v>
      </c>
      <c r="BZ5" t="e">
        <f>AND(#REF!,"AAAAABvX700=")</f>
        <v>#REF!</v>
      </c>
      <c r="CA5" t="e">
        <f>AND(#REF!,"AAAAABvX704=")</f>
        <v>#REF!</v>
      </c>
      <c r="CB5" t="e">
        <f>AND(#REF!,"AAAAABvX708=")</f>
        <v>#REF!</v>
      </c>
      <c r="CC5" t="e">
        <f>IF(#REF!,"AAAAABvX71A=",0)</f>
        <v>#REF!</v>
      </c>
      <c r="CD5" t="e">
        <f>AND(#REF!,"AAAAABvX71E=")</f>
        <v>#REF!</v>
      </c>
      <c r="CE5" t="e">
        <f>AND(#REF!,"AAAAABvX71I=")</f>
        <v>#REF!</v>
      </c>
      <c r="CF5" t="e">
        <f>AND(#REF!,"AAAAABvX71M=")</f>
        <v>#REF!</v>
      </c>
      <c r="CG5" t="e">
        <f>AND(#REF!,"AAAAABvX71Q=")</f>
        <v>#REF!</v>
      </c>
      <c r="CH5" t="e">
        <f>AND(#REF!,"AAAAABvX71U=")</f>
        <v>#REF!</v>
      </c>
      <c r="CI5" t="e">
        <f>AND(#REF!,"AAAAABvX71Y=")</f>
        <v>#REF!</v>
      </c>
      <c r="CJ5" t="e">
        <f>AND(#REF!,"AAAAABvX71c=")</f>
        <v>#REF!</v>
      </c>
      <c r="CK5" t="e">
        <f>AND(#REF!,"AAAAABvX71g=")</f>
        <v>#REF!</v>
      </c>
      <c r="CL5" t="e">
        <f>AND(#REF!,"AAAAABvX71k=")</f>
        <v>#REF!</v>
      </c>
      <c r="CM5" t="e">
        <f>AND(#REF!,"AAAAABvX71o=")</f>
        <v>#REF!</v>
      </c>
      <c r="CN5" t="e">
        <f>AND(#REF!,"AAAAABvX71s=")</f>
        <v>#REF!</v>
      </c>
      <c r="CO5" t="e">
        <f>IF(#REF!,"AAAAABvX71w=",0)</f>
        <v>#REF!</v>
      </c>
      <c r="CP5" t="e">
        <f>AND(#REF!,"AAAAABvX710=")</f>
        <v>#REF!</v>
      </c>
      <c r="CQ5" t="e">
        <f>AND(#REF!,"AAAAABvX714=")</f>
        <v>#REF!</v>
      </c>
      <c r="CR5" t="e">
        <f>AND(#REF!,"AAAAABvX718=")</f>
        <v>#REF!</v>
      </c>
      <c r="CS5" t="e">
        <f>AND(#REF!,"AAAAABvX72A=")</f>
        <v>#REF!</v>
      </c>
      <c r="CT5" t="e">
        <f>AND(#REF!,"AAAAABvX72E=")</f>
        <v>#REF!</v>
      </c>
      <c r="CU5" t="e">
        <f>AND(#REF!,"AAAAABvX72I=")</f>
        <v>#REF!</v>
      </c>
      <c r="CV5" t="e">
        <f>AND(#REF!,"AAAAABvX72M=")</f>
        <v>#REF!</v>
      </c>
      <c r="CW5" t="e">
        <f>AND(#REF!,"AAAAABvX72Q=")</f>
        <v>#REF!</v>
      </c>
      <c r="CX5" t="e">
        <f>AND(#REF!,"AAAAABvX72U=")</f>
        <v>#REF!</v>
      </c>
      <c r="CY5" t="e">
        <f>AND(#REF!,"AAAAABvX72Y=")</f>
        <v>#REF!</v>
      </c>
      <c r="CZ5" t="e">
        <f>AND(#REF!,"AAAAABvX72c=")</f>
        <v>#REF!</v>
      </c>
      <c r="DA5" t="e">
        <f>IF(#REF!,"AAAAABvX72g=",0)</f>
        <v>#REF!</v>
      </c>
      <c r="DB5" t="e">
        <f>AND(#REF!,"AAAAABvX72k=")</f>
        <v>#REF!</v>
      </c>
      <c r="DC5" t="e">
        <f>AND(#REF!,"AAAAABvX72o=")</f>
        <v>#REF!</v>
      </c>
      <c r="DD5" t="e">
        <f>AND(#REF!,"AAAAABvX72s=")</f>
        <v>#REF!</v>
      </c>
      <c r="DE5" t="e">
        <f>AND(#REF!,"AAAAABvX72w=")</f>
        <v>#REF!</v>
      </c>
      <c r="DF5" t="e">
        <f>AND(#REF!,"AAAAABvX720=")</f>
        <v>#REF!</v>
      </c>
      <c r="DG5" t="e">
        <f>AND(#REF!,"AAAAABvX724=")</f>
        <v>#REF!</v>
      </c>
      <c r="DH5" t="e">
        <f>AND(#REF!,"AAAAABvX728=")</f>
        <v>#REF!</v>
      </c>
      <c r="DI5" t="e">
        <f>AND(#REF!,"AAAAABvX73A=")</f>
        <v>#REF!</v>
      </c>
      <c r="DJ5" t="e">
        <f>AND(#REF!,"AAAAABvX73E=")</f>
        <v>#REF!</v>
      </c>
      <c r="DK5" t="e">
        <f>AND(#REF!,"AAAAABvX73I=")</f>
        <v>#REF!</v>
      </c>
      <c r="DL5" t="e">
        <f>AND(#REF!,"AAAAABvX73M=")</f>
        <v>#REF!</v>
      </c>
      <c r="DM5" t="e">
        <f>IF(#REF!,"AAAAABvX73Q=",0)</f>
        <v>#REF!</v>
      </c>
      <c r="DN5" t="e">
        <f>AND(#REF!,"AAAAABvX73U=")</f>
        <v>#REF!</v>
      </c>
      <c r="DO5" t="e">
        <f>AND(#REF!,"AAAAABvX73Y=")</f>
        <v>#REF!</v>
      </c>
      <c r="DP5" t="e">
        <f>AND(#REF!,"AAAAABvX73c=")</f>
        <v>#REF!</v>
      </c>
      <c r="DQ5" t="e">
        <f>AND(#REF!,"AAAAABvX73g=")</f>
        <v>#REF!</v>
      </c>
      <c r="DR5" t="e">
        <f>AND(#REF!,"AAAAABvX73k=")</f>
        <v>#REF!</v>
      </c>
      <c r="DS5" t="e">
        <f>AND(#REF!,"AAAAABvX73o=")</f>
        <v>#REF!</v>
      </c>
      <c r="DT5" t="e">
        <f>AND(#REF!,"AAAAABvX73s=")</f>
        <v>#REF!</v>
      </c>
      <c r="DU5" t="e">
        <f>AND(#REF!,"AAAAABvX73w=")</f>
        <v>#REF!</v>
      </c>
      <c r="DV5" t="e">
        <f>AND(#REF!,"AAAAABvX730=")</f>
        <v>#REF!</v>
      </c>
      <c r="DW5" t="e">
        <f>AND(#REF!,"AAAAABvX734=")</f>
        <v>#REF!</v>
      </c>
      <c r="DX5" t="e">
        <f>AND(#REF!,"AAAAABvX738=")</f>
        <v>#REF!</v>
      </c>
      <c r="DY5" t="e">
        <f>IF(#REF!,"AAAAABvX74A=",0)</f>
        <v>#REF!</v>
      </c>
      <c r="DZ5" t="e">
        <f>AND(#REF!,"AAAAABvX74E=")</f>
        <v>#REF!</v>
      </c>
      <c r="EA5" t="e">
        <f>AND(#REF!,"AAAAABvX74I=")</f>
        <v>#REF!</v>
      </c>
      <c r="EB5" t="e">
        <f>AND(#REF!,"AAAAABvX74M=")</f>
        <v>#REF!</v>
      </c>
      <c r="EC5" t="e">
        <f>AND(#REF!,"AAAAABvX74Q=")</f>
        <v>#REF!</v>
      </c>
      <c r="ED5" t="e">
        <f>AND(#REF!,"AAAAABvX74U=")</f>
        <v>#REF!</v>
      </c>
      <c r="EE5" t="e">
        <f>AND(#REF!,"AAAAABvX74Y=")</f>
        <v>#REF!</v>
      </c>
      <c r="EF5" t="e">
        <f>AND(#REF!,"AAAAABvX74c=")</f>
        <v>#REF!</v>
      </c>
      <c r="EG5" t="e">
        <f>AND(#REF!,"AAAAABvX74g=")</f>
        <v>#REF!</v>
      </c>
      <c r="EH5" t="e">
        <f>AND(#REF!,"AAAAABvX74k=")</f>
        <v>#REF!</v>
      </c>
      <c r="EI5" t="e">
        <f>AND(#REF!,"AAAAABvX74o=")</f>
        <v>#REF!</v>
      </c>
      <c r="EJ5" t="e">
        <f>AND(#REF!,"AAAAABvX74s=")</f>
        <v>#REF!</v>
      </c>
      <c r="EK5" t="e">
        <f>IF(#REF!,"AAAAABvX74w=",0)</f>
        <v>#REF!</v>
      </c>
      <c r="EL5" t="e">
        <f>AND(#REF!,"AAAAABvX740=")</f>
        <v>#REF!</v>
      </c>
      <c r="EM5" t="e">
        <f>AND(#REF!,"AAAAABvX744=")</f>
        <v>#REF!</v>
      </c>
      <c r="EN5" t="e">
        <f>AND(#REF!,"AAAAABvX748=")</f>
        <v>#REF!</v>
      </c>
      <c r="EO5" t="e">
        <f>AND(#REF!,"AAAAABvX75A=")</f>
        <v>#REF!</v>
      </c>
      <c r="EP5" t="e">
        <f>AND(#REF!,"AAAAABvX75E=")</f>
        <v>#REF!</v>
      </c>
      <c r="EQ5" t="e">
        <f>AND(#REF!,"AAAAABvX75I=")</f>
        <v>#REF!</v>
      </c>
      <c r="ER5" t="e">
        <f>AND(#REF!,"AAAAABvX75M=")</f>
        <v>#REF!</v>
      </c>
      <c r="ES5" t="e">
        <f>AND(#REF!,"AAAAABvX75Q=")</f>
        <v>#REF!</v>
      </c>
      <c r="ET5" t="e">
        <f>AND(#REF!,"AAAAABvX75U=")</f>
        <v>#REF!</v>
      </c>
      <c r="EU5" t="e">
        <f>AND(#REF!,"AAAAABvX75Y=")</f>
        <v>#REF!</v>
      </c>
      <c r="EV5" t="e">
        <f>AND(#REF!,"AAAAABvX75c=")</f>
        <v>#REF!</v>
      </c>
      <c r="EW5" t="e">
        <f>IF(#REF!,"AAAAABvX75g=",0)</f>
        <v>#REF!</v>
      </c>
      <c r="EX5" t="e">
        <f>AND(#REF!,"AAAAABvX75k=")</f>
        <v>#REF!</v>
      </c>
      <c r="EY5" t="e">
        <f>AND(#REF!,"AAAAABvX75o=")</f>
        <v>#REF!</v>
      </c>
      <c r="EZ5" t="e">
        <f>AND(#REF!,"AAAAABvX75s=")</f>
        <v>#REF!</v>
      </c>
      <c r="FA5" t="e">
        <f>AND(#REF!,"AAAAABvX75w=")</f>
        <v>#REF!</v>
      </c>
      <c r="FB5" t="e">
        <f>AND(#REF!,"AAAAABvX750=")</f>
        <v>#REF!</v>
      </c>
      <c r="FC5" t="e">
        <f>AND(#REF!,"AAAAABvX754=")</f>
        <v>#REF!</v>
      </c>
      <c r="FD5" t="e">
        <f>AND(#REF!,"AAAAABvX758=")</f>
        <v>#REF!</v>
      </c>
      <c r="FE5" t="e">
        <f>AND(#REF!,"AAAAABvX76A=")</f>
        <v>#REF!</v>
      </c>
      <c r="FF5" t="e">
        <f>AND(#REF!,"AAAAABvX76E=")</f>
        <v>#REF!</v>
      </c>
      <c r="FG5" t="e">
        <f>AND(#REF!,"AAAAABvX76I=")</f>
        <v>#REF!</v>
      </c>
      <c r="FH5" t="e">
        <f>AND(#REF!,"AAAAABvX76M=")</f>
        <v>#REF!</v>
      </c>
      <c r="FI5" t="e">
        <f>IF(#REF!,"AAAAABvX76Q=",0)</f>
        <v>#REF!</v>
      </c>
      <c r="FJ5" t="e">
        <f>AND(#REF!,"AAAAABvX76U=")</f>
        <v>#REF!</v>
      </c>
      <c r="FK5" t="e">
        <f>AND(#REF!,"AAAAABvX76Y=")</f>
        <v>#REF!</v>
      </c>
      <c r="FL5" t="e">
        <f>AND(#REF!,"AAAAABvX76c=")</f>
        <v>#REF!</v>
      </c>
      <c r="FM5" t="e">
        <f>AND(#REF!,"AAAAABvX76g=")</f>
        <v>#REF!</v>
      </c>
      <c r="FN5" t="e">
        <f>AND(#REF!,"AAAAABvX76k=")</f>
        <v>#REF!</v>
      </c>
      <c r="FO5" t="e">
        <f>AND(#REF!,"AAAAABvX76o=")</f>
        <v>#REF!</v>
      </c>
      <c r="FP5" t="e">
        <f>AND(#REF!,"AAAAABvX76s=")</f>
        <v>#REF!</v>
      </c>
      <c r="FQ5" t="e">
        <f>AND(#REF!,"AAAAABvX76w=")</f>
        <v>#REF!</v>
      </c>
      <c r="FR5" t="e">
        <f>AND(#REF!,"AAAAABvX760=")</f>
        <v>#REF!</v>
      </c>
      <c r="FS5" t="e">
        <f>AND(#REF!,"AAAAABvX764=")</f>
        <v>#REF!</v>
      </c>
      <c r="FT5" t="e">
        <f>AND(#REF!,"AAAAABvX768=")</f>
        <v>#REF!</v>
      </c>
      <c r="FU5" t="e">
        <f>IF(#REF!,"AAAAABvX77A=",0)</f>
        <v>#REF!</v>
      </c>
      <c r="FV5" t="e">
        <f>AND(#REF!,"AAAAABvX77E=")</f>
        <v>#REF!</v>
      </c>
      <c r="FW5" t="e">
        <f>AND(#REF!,"AAAAABvX77I=")</f>
        <v>#REF!</v>
      </c>
      <c r="FX5" t="e">
        <f>AND(#REF!,"AAAAABvX77M=")</f>
        <v>#REF!</v>
      </c>
      <c r="FY5" t="e">
        <f>AND(#REF!,"AAAAABvX77Q=")</f>
        <v>#REF!</v>
      </c>
      <c r="FZ5" t="e">
        <f>AND(#REF!,"AAAAABvX77U=")</f>
        <v>#REF!</v>
      </c>
      <c r="GA5" t="e">
        <f>AND(#REF!,"AAAAABvX77Y=")</f>
        <v>#REF!</v>
      </c>
      <c r="GB5" t="e">
        <f>AND(#REF!,"AAAAABvX77c=")</f>
        <v>#REF!</v>
      </c>
      <c r="GC5" t="e">
        <f>AND(#REF!,"AAAAABvX77g=")</f>
        <v>#REF!</v>
      </c>
      <c r="GD5" t="e">
        <f>AND(#REF!,"AAAAABvX77k=")</f>
        <v>#REF!</v>
      </c>
      <c r="GE5" t="e">
        <f>AND(#REF!,"AAAAABvX77o=")</f>
        <v>#REF!</v>
      </c>
      <c r="GF5" t="e">
        <f>AND(#REF!,"AAAAABvX77s=")</f>
        <v>#REF!</v>
      </c>
      <c r="GG5" t="e">
        <f>IF(#REF!,"AAAAABvX77w=",0)</f>
        <v>#REF!</v>
      </c>
      <c r="GH5" t="e">
        <f>AND(#REF!,"AAAAABvX770=")</f>
        <v>#REF!</v>
      </c>
      <c r="GI5" t="e">
        <f>AND(#REF!,"AAAAABvX774=")</f>
        <v>#REF!</v>
      </c>
      <c r="GJ5" t="e">
        <f>AND(#REF!,"AAAAABvX778=")</f>
        <v>#REF!</v>
      </c>
      <c r="GK5" t="e">
        <f>AND(#REF!,"AAAAABvX78A=")</f>
        <v>#REF!</v>
      </c>
      <c r="GL5" t="e">
        <f>AND(#REF!,"AAAAABvX78E=")</f>
        <v>#REF!</v>
      </c>
      <c r="GM5" t="e">
        <f>AND(#REF!,"AAAAABvX78I=")</f>
        <v>#REF!</v>
      </c>
      <c r="GN5" t="e">
        <f>AND(#REF!,"AAAAABvX78M=")</f>
        <v>#REF!</v>
      </c>
      <c r="GO5" t="e">
        <f>AND(#REF!,"AAAAABvX78Q=")</f>
        <v>#REF!</v>
      </c>
      <c r="GP5" t="e">
        <f>AND(#REF!,"AAAAABvX78U=")</f>
        <v>#REF!</v>
      </c>
      <c r="GQ5" t="e">
        <f>AND(#REF!,"AAAAABvX78Y=")</f>
        <v>#REF!</v>
      </c>
      <c r="GR5" t="e">
        <f>AND(#REF!,"AAAAABvX78c=")</f>
        <v>#REF!</v>
      </c>
      <c r="GS5" t="e">
        <f>IF(#REF!,"AAAAABvX78g=",0)</f>
        <v>#REF!</v>
      </c>
      <c r="GT5" t="e">
        <f>AND(#REF!,"AAAAABvX78k=")</f>
        <v>#REF!</v>
      </c>
      <c r="GU5" t="e">
        <f>AND(#REF!,"AAAAABvX78o=")</f>
        <v>#REF!</v>
      </c>
      <c r="GV5" t="e">
        <f>AND(#REF!,"AAAAABvX78s=")</f>
        <v>#REF!</v>
      </c>
      <c r="GW5" t="e">
        <f>AND(#REF!,"AAAAABvX78w=")</f>
        <v>#REF!</v>
      </c>
      <c r="GX5" t="e">
        <f>AND(#REF!,"AAAAABvX780=")</f>
        <v>#REF!</v>
      </c>
      <c r="GY5" t="e">
        <f>AND(#REF!,"AAAAABvX784=")</f>
        <v>#REF!</v>
      </c>
      <c r="GZ5" t="e">
        <f>AND(#REF!,"AAAAABvX788=")</f>
        <v>#REF!</v>
      </c>
      <c r="HA5" t="e">
        <f>AND(#REF!,"AAAAABvX79A=")</f>
        <v>#REF!</v>
      </c>
      <c r="HB5" t="e">
        <f>AND(#REF!,"AAAAABvX79E=")</f>
        <v>#REF!</v>
      </c>
      <c r="HC5" t="e">
        <f>AND(#REF!,"AAAAABvX79I=")</f>
        <v>#REF!</v>
      </c>
      <c r="HD5" t="e">
        <f>AND(#REF!,"AAAAABvX79M=")</f>
        <v>#REF!</v>
      </c>
      <c r="HE5" t="e">
        <f>IF(#REF!,"AAAAABvX79Q=",0)</f>
        <v>#REF!</v>
      </c>
      <c r="HF5" t="e">
        <f>AND(#REF!,"AAAAABvX79U=")</f>
        <v>#REF!</v>
      </c>
      <c r="HG5" t="e">
        <f>AND(#REF!,"AAAAABvX79Y=")</f>
        <v>#REF!</v>
      </c>
      <c r="HH5" t="e">
        <f>AND(#REF!,"AAAAABvX79c=")</f>
        <v>#REF!</v>
      </c>
      <c r="HI5" t="e">
        <f>AND(#REF!,"AAAAABvX79g=")</f>
        <v>#REF!</v>
      </c>
      <c r="HJ5" t="e">
        <f>AND(#REF!,"AAAAABvX79k=")</f>
        <v>#REF!</v>
      </c>
      <c r="HK5" t="e">
        <f>AND(#REF!,"AAAAABvX79o=")</f>
        <v>#REF!</v>
      </c>
      <c r="HL5" t="e">
        <f>AND(#REF!,"AAAAABvX79s=")</f>
        <v>#REF!</v>
      </c>
      <c r="HM5" t="e">
        <f>AND(#REF!,"AAAAABvX79w=")</f>
        <v>#REF!</v>
      </c>
      <c r="HN5" t="e">
        <f>AND(#REF!,"AAAAABvX790=")</f>
        <v>#REF!</v>
      </c>
      <c r="HO5" t="e">
        <f>AND(#REF!,"AAAAABvX794=")</f>
        <v>#REF!</v>
      </c>
      <c r="HP5" t="e">
        <f>AND(#REF!,"AAAAABvX798=")</f>
        <v>#REF!</v>
      </c>
      <c r="HQ5" t="e">
        <f>IF(#REF!,"AAAAABvX7+A=",0)</f>
        <v>#REF!</v>
      </c>
      <c r="HR5" t="e">
        <f>AND(#REF!,"AAAAABvX7+E=")</f>
        <v>#REF!</v>
      </c>
      <c r="HS5" t="e">
        <f>AND(#REF!,"AAAAABvX7+I=")</f>
        <v>#REF!</v>
      </c>
      <c r="HT5" t="e">
        <f>AND(#REF!,"AAAAABvX7+M=")</f>
        <v>#REF!</v>
      </c>
      <c r="HU5" t="e">
        <f>AND(#REF!,"AAAAABvX7+Q=")</f>
        <v>#REF!</v>
      </c>
      <c r="HV5" t="e">
        <f>AND(#REF!,"AAAAABvX7+U=")</f>
        <v>#REF!</v>
      </c>
      <c r="HW5" t="e">
        <f>AND(#REF!,"AAAAABvX7+Y=")</f>
        <v>#REF!</v>
      </c>
      <c r="HX5" t="e">
        <f>AND(#REF!,"AAAAABvX7+c=")</f>
        <v>#REF!</v>
      </c>
      <c r="HY5" t="e">
        <f>AND(#REF!,"AAAAABvX7+g=")</f>
        <v>#REF!</v>
      </c>
      <c r="HZ5" t="e">
        <f>AND(#REF!,"AAAAABvX7+k=")</f>
        <v>#REF!</v>
      </c>
      <c r="IA5" t="e">
        <f>AND(#REF!,"AAAAABvX7+o=")</f>
        <v>#REF!</v>
      </c>
      <c r="IB5" t="e">
        <f>AND(#REF!,"AAAAABvX7+s=")</f>
        <v>#REF!</v>
      </c>
      <c r="IC5" t="e">
        <f>IF(#REF!,"AAAAABvX7+w=",0)</f>
        <v>#REF!</v>
      </c>
      <c r="ID5" t="e">
        <f>AND(#REF!,"AAAAABvX7+0=")</f>
        <v>#REF!</v>
      </c>
      <c r="IE5" t="e">
        <f>AND(#REF!,"AAAAABvX7+4=")</f>
        <v>#REF!</v>
      </c>
      <c r="IF5" t="e">
        <f>AND(#REF!,"AAAAABvX7+8=")</f>
        <v>#REF!</v>
      </c>
      <c r="IG5" t="e">
        <f>AND(#REF!,"AAAAABvX7/A=")</f>
        <v>#REF!</v>
      </c>
      <c r="IH5" t="e">
        <f>AND(#REF!,"AAAAABvX7/E=")</f>
        <v>#REF!</v>
      </c>
      <c r="II5" t="e">
        <f>AND(#REF!,"AAAAABvX7/I=")</f>
        <v>#REF!</v>
      </c>
      <c r="IJ5" t="e">
        <f>AND(#REF!,"AAAAABvX7/M=")</f>
        <v>#REF!</v>
      </c>
      <c r="IK5" t="e">
        <f>AND(#REF!,"AAAAABvX7/Q=")</f>
        <v>#REF!</v>
      </c>
      <c r="IL5" t="e">
        <f>AND(#REF!,"AAAAABvX7/U=")</f>
        <v>#REF!</v>
      </c>
      <c r="IM5" t="e">
        <f>AND(#REF!,"AAAAABvX7/Y=")</f>
        <v>#REF!</v>
      </c>
      <c r="IN5" t="e">
        <f>AND(#REF!,"AAAAABvX7/c=")</f>
        <v>#REF!</v>
      </c>
      <c r="IO5" t="e">
        <f>IF(#REF!,"AAAAABvX7/g=",0)</f>
        <v>#REF!</v>
      </c>
      <c r="IP5" t="e">
        <f>AND(#REF!,"AAAAABvX7/k=")</f>
        <v>#REF!</v>
      </c>
      <c r="IQ5" t="e">
        <f>AND(#REF!,"AAAAABvX7/o=")</f>
        <v>#REF!</v>
      </c>
      <c r="IR5" t="e">
        <f>AND(#REF!,"AAAAABvX7/s=")</f>
        <v>#REF!</v>
      </c>
      <c r="IS5" t="e">
        <f>AND(#REF!,"AAAAABvX7/w=")</f>
        <v>#REF!</v>
      </c>
      <c r="IT5" t="e">
        <f>AND(#REF!,"AAAAABvX7/0=")</f>
        <v>#REF!</v>
      </c>
      <c r="IU5" t="e">
        <f>AND(#REF!,"AAAAABvX7/4=")</f>
        <v>#REF!</v>
      </c>
      <c r="IV5" t="e">
        <f>AND(#REF!,"AAAAABvX7/8=")</f>
        <v>#REF!</v>
      </c>
    </row>
    <row r="6" spans="1:256" x14ac:dyDescent="0.25">
      <c r="A6" t="e">
        <f>AND(#REF!,"AAAAAHb7fwA=")</f>
        <v>#REF!</v>
      </c>
      <c r="B6" t="e">
        <f>AND(#REF!,"AAAAAHb7fwE=")</f>
        <v>#REF!</v>
      </c>
      <c r="C6" t="e">
        <f>AND(#REF!,"AAAAAHb7fwI=")</f>
        <v>#REF!</v>
      </c>
      <c r="D6" t="e">
        <f>AND(#REF!,"AAAAAHb7fwM=")</f>
        <v>#REF!</v>
      </c>
      <c r="E6" t="e">
        <f>IF(#REF!,"AAAAAHb7fwQ=",0)</f>
        <v>#REF!</v>
      </c>
      <c r="F6" t="e">
        <f>AND(#REF!,"AAAAAHb7fwU=")</f>
        <v>#REF!</v>
      </c>
      <c r="G6" t="e">
        <f>AND(#REF!,"AAAAAHb7fwY=")</f>
        <v>#REF!</v>
      </c>
      <c r="H6" t="e">
        <f>AND(#REF!,"AAAAAHb7fwc=")</f>
        <v>#REF!</v>
      </c>
      <c r="I6" t="e">
        <f>AND(#REF!,"AAAAAHb7fwg=")</f>
        <v>#REF!</v>
      </c>
      <c r="J6" t="e">
        <f>AND(#REF!,"AAAAAHb7fwk=")</f>
        <v>#REF!</v>
      </c>
      <c r="K6" t="e">
        <f>AND(#REF!,"AAAAAHb7fwo=")</f>
        <v>#REF!</v>
      </c>
      <c r="L6" t="e">
        <f>AND(#REF!,"AAAAAHb7fws=")</f>
        <v>#REF!</v>
      </c>
      <c r="M6" t="e">
        <f>AND(#REF!,"AAAAAHb7fww=")</f>
        <v>#REF!</v>
      </c>
      <c r="N6" t="e">
        <f>AND(#REF!,"AAAAAHb7fw0=")</f>
        <v>#REF!</v>
      </c>
      <c r="O6" t="e">
        <f>AND(#REF!,"AAAAAHb7fw4=")</f>
        <v>#REF!</v>
      </c>
      <c r="P6" t="e">
        <f>AND(#REF!,"AAAAAHb7fw8=")</f>
        <v>#REF!</v>
      </c>
      <c r="Q6" t="e">
        <f>IF(#REF!,"AAAAAHb7fxA=",0)</f>
        <v>#REF!</v>
      </c>
      <c r="R6" t="e">
        <f>AND(#REF!,"AAAAAHb7fxE=")</f>
        <v>#REF!</v>
      </c>
      <c r="S6" t="e">
        <f>AND(#REF!,"AAAAAHb7fxI=")</f>
        <v>#REF!</v>
      </c>
      <c r="T6" t="e">
        <f>AND(#REF!,"AAAAAHb7fxM=")</f>
        <v>#REF!</v>
      </c>
      <c r="U6" t="e">
        <f>AND(#REF!,"AAAAAHb7fxQ=")</f>
        <v>#REF!</v>
      </c>
      <c r="V6" t="e">
        <f>AND(#REF!,"AAAAAHb7fxU=")</f>
        <v>#REF!</v>
      </c>
      <c r="W6" t="e">
        <f>AND(#REF!,"AAAAAHb7fxY=")</f>
        <v>#REF!</v>
      </c>
      <c r="X6" t="e">
        <f>AND(#REF!,"AAAAAHb7fxc=")</f>
        <v>#REF!</v>
      </c>
      <c r="Y6" t="e">
        <f>AND(#REF!,"AAAAAHb7fxg=")</f>
        <v>#REF!</v>
      </c>
      <c r="Z6" t="e">
        <f>AND(#REF!,"AAAAAHb7fxk=")</f>
        <v>#REF!</v>
      </c>
      <c r="AA6" t="e">
        <f>AND(#REF!,"AAAAAHb7fxo=")</f>
        <v>#REF!</v>
      </c>
      <c r="AB6" t="e">
        <f>AND(#REF!,"AAAAAHb7fxs=")</f>
        <v>#REF!</v>
      </c>
      <c r="AC6" t="e">
        <f>IF(#REF!,"AAAAAHb7fxw=",0)</f>
        <v>#REF!</v>
      </c>
      <c r="AD6" t="e">
        <f>AND(#REF!,"AAAAAHb7fx0=")</f>
        <v>#REF!</v>
      </c>
      <c r="AE6" t="e">
        <f>AND(#REF!,"AAAAAHb7fx4=")</f>
        <v>#REF!</v>
      </c>
      <c r="AF6" t="e">
        <f>AND(#REF!,"AAAAAHb7fx8=")</f>
        <v>#REF!</v>
      </c>
      <c r="AG6" t="e">
        <f>AND(#REF!,"AAAAAHb7fyA=")</f>
        <v>#REF!</v>
      </c>
      <c r="AH6" t="e">
        <f>AND(#REF!,"AAAAAHb7fyE=")</f>
        <v>#REF!</v>
      </c>
      <c r="AI6" t="e">
        <f>AND(#REF!,"AAAAAHb7fyI=")</f>
        <v>#REF!</v>
      </c>
      <c r="AJ6" t="e">
        <f>AND(#REF!,"AAAAAHb7fyM=")</f>
        <v>#REF!</v>
      </c>
      <c r="AK6" t="e">
        <f>AND(#REF!,"AAAAAHb7fyQ=")</f>
        <v>#REF!</v>
      </c>
      <c r="AL6" t="e">
        <f>AND(#REF!,"AAAAAHb7fyU=")</f>
        <v>#REF!</v>
      </c>
      <c r="AM6" t="e">
        <f>AND(#REF!,"AAAAAHb7fyY=")</f>
        <v>#REF!</v>
      </c>
      <c r="AN6" t="e">
        <f>AND(#REF!,"AAAAAHb7fyc=")</f>
        <v>#REF!</v>
      </c>
      <c r="AO6" t="e">
        <f>IF(#REF!,"AAAAAHb7fyg=",0)</f>
        <v>#REF!</v>
      </c>
      <c r="AP6" t="e">
        <f>IF(#REF!,"AAAAAHb7fyk=",0)</f>
        <v>#REF!</v>
      </c>
      <c r="AQ6" t="e">
        <f>IF(#REF!,"AAAAAHb7fyo=",0)</f>
        <v>#REF!</v>
      </c>
      <c r="AR6" t="e">
        <f>IF(#REF!,"AAAAAHb7fys=",0)</f>
        <v>#REF!</v>
      </c>
      <c r="AS6" t="e">
        <f>IF(#REF!,"AAAAAHb7fyw=",0)</f>
        <v>#REF!</v>
      </c>
      <c r="AT6" t="e">
        <f>IF(#REF!,"AAAAAHb7fy0=",0)</f>
        <v>#REF!</v>
      </c>
      <c r="AU6" t="e">
        <f>IF(#REF!,"AAAAAHb7fy4=",0)</f>
        <v>#REF!</v>
      </c>
      <c r="AV6" t="e">
        <f>IF(#REF!,"AAAAAHb7fy8=",0)</f>
        <v>#REF!</v>
      </c>
      <c r="AW6" t="e">
        <f>IF(#REF!,"AAAAAHb7fzA=",0)</f>
        <v>#REF!</v>
      </c>
      <c r="AX6" t="e">
        <f>IF(#REF!,"AAAAAHb7fzE=",0)</f>
        <v>#REF!</v>
      </c>
      <c r="AY6" t="e">
        <f>IF(#REF!,"AAAAAHb7fzI=",0)</f>
        <v>#REF!</v>
      </c>
      <c r="AZ6" s="1" t="s">
        <v>0</v>
      </c>
      <c r="BA6" t="e">
        <f>IF("N",[0]!_xlnm.Print_Titles,"AAAAAHb7fzQ=")</f>
        <v>#VALUE!</v>
      </c>
    </row>
  </sheetData>
  <phoneticPr fontId="2" type="noConversion"/>
  <pageMargins left="0.7" right="0.7" top="0.75" bottom="0.75" header="0.3" footer="0.3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資工101日四技 (2)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2014-05-26T09:40:02Z</cp:lastPrinted>
  <dcterms:created xsi:type="dcterms:W3CDTF">2005-08-12T06:21:59Z</dcterms:created>
  <dcterms:modified xsi:type="dcterms:W3CDTF">2017-06-01T05:31:00Z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1irqD2hnosThKey0qoNPkI3N4VxswNW_DSlj4VfoQibQ</vt:lpwstr>
  </property>
  <property fmtid="{D5CDD505-2E9C-101B-9397-08002B2CF9AE}" pid="4" name="Google.Documents.RevisionId">
    <vt:lpwstr>16253175830439906183</vt:lpwstr>
  </property>
  <property fmtid="{D5CDD505-2E9C-101B-9397-08002B2CF9AE}" pid="5" name="Google.Documents.PreviousRevisionId">
    <vt:lpwstr>18134993185629350231</vt:lpwstr>
  </property>
  <property fmtid="{D5CDD505-2E9C-101B-9397-08002B2CF9AE}" pid="6" name="Google.Documents.PluginVersion">
    <vt:lpwstr>2.0.2026.3768</vt:lpwstr>
  </property>
  <property fmtid="{D5CDD505-2E9C-101B-9397-08002B2CF9AE}" pid="7" name="Google.Documents.MergeIncapabilityFlags">
    <vt:i4>0</vt:i4>
  </property>
</Properties>
</file>