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15480" windowHeight="6405"/>
  </bookViews>
  <sheets>
    <sheet name="財法所101-英文法務組" sheetId="4" r:id="rId1"/>
    <sheet name="DV-IDENTITY-0" sheetId="5" state="veryHidden" r:id="rId2"/>
  </sheets>
  <definedNames>
    <definedName name="_xlnm.Print_Titles" localSheetId="0">'財法所101-英文法務組'!$1:$1</definedName>
  </definedNames>
  <calcPr calcId="145621"/>
</workbook>
</file>

<file path=xl/calcChain.xml><?xml version="1.0" encoding="utf-8"?>
<calcChain xmlns="http://schemas.openxmlformats.org/spreadsheetml/2006/main">
  <c r="A9" i="5" l="1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A8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A8" i="5"/>
  <c r="BB8" i="5"/>
  <c r="BC8" i="5"/>
  <c r="BD8" i="5"/>
  <c r="BE8" i="5"/>
  <c r="BF8" i="5"/>
  <c r="BG8" i="5"/>
  <c r="BH8" i="5"/>
  <c r="BI8" i="5"/>
  <c r="BJ8" i="5"/>
  <c r="BK8" i="5"/>
  <c r="BL8" i="5"/>
  <c r="BM8" i="5"/>
  <c r="BN8" i="5"/>
  <c r="BO8" i="5"/>
  <c r="BP8" i="5"/>
  <c r="BQ8" i="5"/>
  <c r="BR8" i="5"/>
  <c r="BS8" i="5"/>
  <c r="BT8" i="5"/>
  <c r="BU8" i="5"/>
  <c r="BV8" i="5"/>
  <c r="BW8" i="5"/>
  <c r="BX8" i="5"/>
  <c r="BY8" i="5"/>
  <c r="BZ8" i="5"/>
  <c r="CA8" i="5"/>
  <c r="CB8" i="5"/>
  <c r="CC8" i="5"/>
  <c r="CD8" i="5"/>
  <c r="CE8" i="5"/>
  <c r="CF8" i="5"/>
  <c r="CG8" i="5"/>
  <c r="CH8" i="5"/>
  <c r="CI8" i="5"/>
  <c r="CJ8" i="5"/>
  <c r="CK8" i="5"/>
  <c r="CL8" i="5"/>
  <c r="CM8" i="5"/>
  <c r="CN8" i="5"/>
  <c r="CO8" i="5"/>
  <c r="CP8" i="5"/>
  <c r="CQ8" i="5"/>
  <c r="CR8" i="5"/>
  <c r="CS8" i="5"/>
  <c r="CT8" i="5"/>
  <c r="CU8" i="5"/>
  <c r="CV8" i="5"/>
  <c r="CW8" i="5"/>
  <c r="CX8" i="5"/>
  <c r="CY8" i="5"/>
  <c r="CZ8" i="5"/>
  <c r="DA8" i="5"/>
  <c r="DB8" i="5"/>
  <c r="DC8" i="5"/>
  <c r="DD8" i="5"/>
  <c r="DE8" i="5"/>
  <c r="DF8" i="5"/>
  <c r="DG8" i="5"/>
  <c r="DH8" i="5"/>
  <c r="DI8" i="5"/>
  <c r="DJ8" i="5"/>
  <c r="DK8" i="5"/>
  <c r="DL8" i="5"/>
  <c r="DM8" i="5"/>
  <c r="DN8" i="5"/>
  <c r="DO8" i="5"/>
  <c r="DP8" i="5"/>
  <c r="DQ8" i="5"/>
  <c r="DR8" i="5"/>
  <c r="DS8" i="5"/>
  <c r="DT8" i="5"/>
  <c r="DU8" i="5"/>
  <c r="DV8" i="5"/>
  <c r="DW8" i="5"/>
  <c r="DX8" i="5"/>
  <c r="DY8" i="5"/>
  <c r="DZ8" i="5"/>
  <c r="EA8" i="5"/>
  <c r="EB8" i="5"/>
  <c r="EC8" i="5"/>
  <c r="ED8" i="5"/>
  <c r="EE8" i="5"/>
  <c r="EF8" i="5"/>
  <c r="EG8" i="5"/>
  <c r="EH8" i="5"/>
  <c r="EI8" i="5"/>
  <c r="EJ8" i="5"/>
  <c r="EK8" i="5"/>
  <c r="EL8" i="5"/>
  <c r="EM8" i="5"/>
  <c r="EN8" i="5"/>
  <c r="EO8" i="5"/>
  <c r="EP8" i="5"/>
  <c r="EQ8" i="5"/>
  <c r="ER8" i="5"/>
  <c r="ES8" i="5"/>
  <c r="ET8" i="5"/>
  <c r="EU8" i="5"/>
  <c r="EV8" i="5"/>
  <c r="EW8" i="5"/>
  <c r="EX8" i="5"/>
  <c r="EY8" i="5"/>
  <c r="EZ8" i="5"/>
  <c r="FA8" i="5"/>
  <c r="FB8" i="5"/>
  <c r="FC8" i="5"/>
  <c r="FD8" i="5"/>
  <c r="FE8" i="5"/>
  <c r="FF8" i="5"/>
  <c r="FG8" i="5"/>
  <c r="FH8" i="5"/>
  <c r="FI8" i="5"/>
  <c r="FJ8" i="5"/>
  <c r="FK8" i="5"/>
  <c r="FL8" i="5"/>
  <c r="FM8" i="5"/>
  <c r="FN8" i="5"/>
  <c r="FO8" i="5"/>
  <c r="FP8" i="5"/>
  <c r="FQ8" i="5"/>
  <c r="FR8" i="5"/>
  <c r="FS8" i="5"/>
  <c r="FT8" i="5"/>
  <c r="FU8" i="5"/>
  <c r="FV8" i="5"/>
  <c r="FW8" i="5"/>
  <c r="FX8" i="5"/>
  <c r="FY8" i="5"/>
  <c r="FZ8" i="5"/>
  <c r="GA8" i="5"/>
  <c r="GB8" i="5"/>
  <c r="GC8" i="5"/>
  <c r="GD8" i="5"/>
  <c r="GE8" i="5"/>
  <c r="GF8" i="5"/>
  <c r="GG8" i="5"/>
  <c r="GH8" i="5"/>
  <c r="GI8" i="5"/>
  <c r="GJ8" i="5"/>
  <c r="GK8" i="5"/>
  <c r="GL8" i="5"/>
  <c r="GM8" i="5"/>
  <c r="GN8" i="5"/>
  <c r="GO8" i="5"/>
  <c r="GP8" i="5"/>
  <c r="GQ8" i="5"/>
  <c r="GR8" i="5"/>
  <c r="GS8" i="5"/>
  <c r="GT8" i="5"/>
  <c r="GU8" i="5"/>
  <c r="GV8" i="5"/>
  <c r="GW8" i="5"/>
  <c r="GX8" i="5"/>
  <c r="GY8" i="5"/>
  <c r="GZ8" i="5"/>
  <c r="HA8" i="5"/>
  <c r="HB8" i="5"/>
  <c r="HC8" i="5"/>
  <c r="HD8" i="5"/>
  <c r="HE8" i="5"/>
  <c r="HF8" i="5"/>
  <c r="HG8" i="5"/>
  <c r="HH8" i="5"/>
  <c r="HI8" i="5"/>
  <c r="HJ8" i="5"/>
  <c r="HK8" i="5"/>
  <c r="HL8" i="5"/>
  <c r="HM8" i="5"/>
  <c r="HN8" i="5"/>
  <c r="HO8" i="5"/>
  <c r="HP8" i="5"/>
  <c r="HQ8" i="5"/>
  <c r="HR8" i="5"/>
  <c r="HS8" i="5"/>
  <c r="HT8" i="5"/>
  <c r="HU8" i="5"/>
  <c r="HV8" i="5"/>
  <c r="HW8" i="5"/>
  <c r="HX8" i="5"/>
  <c r="HY8" i="5"/>
  <c r="HZ8" i="5"/>
  <c r="IA8" i="5"/>
  <c r="IB8" i="5"/>
  <c r="IC8" i="5"/>
  <c r="ID8" i="5"/>
  <c r="IE8" i="5"/>
  <c r="IF8" i="5"/>
  <c r="IG8" i="5"/>
  <c r="IH8" i="5"/>
  <c r="II8" i="5"/>
  <c r="IJ8" i="5"/>
  <c r="IK8" i="5"/>
  <c r="IL8" i="5"/>
  <c r="IM8" i="5"/>
  <c r="IN8" i="5"/>
  <c r="IO8" i="5"/>
  <c r="IP8" i="5"/>
  <c r="IQ8" i="5"/>
  <c r="IR8" i="5"/>
  <c r="IS8" i="5"/>
  <c r="IT8" i="5"/>
  <c r="IU8" i="5"/>
  <c r="IV8" i="5"/>
  <c r="A7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BE7" i="5"/>
  <c r="BF7" i="5"/>
  <c r="BG7" i="5"/>
  <c r="BH7" i="5"/>
  <c r="BI7" i="5"/>
  <c r="BJ7" i="5"/>
  <c r="BK7" i="5"/>
  <c r="BL7" i="5"/>
  <c r="BM7" i="5"/>
  <c r="BN7" i="5"/>
  <c r="BO7" i="5"/>
  <c r="BP7" i="5"/>
  <c r="BQ7" i="5"/>
  <c r="BR7" i="5"/>
  <c r="BS7" i="5"/>
  <c r="BT7" i="5"/>
  <c r="BU7" i="5"/>
  <c r="BV7" i="5"/>
  <c r="BW7" i="5"/>
  <c r="BX7" i="5"/>
  <c r="BY7" i="5"/>
  <c r="BZ7" i="5"/>
  <c r="CA7" i="5"/>
  <c r="CB7" i="5"/>
  <c r="CC7" i="5"/>
  <c r="CD7" i="5"/>
  <c r="CE7" i="5"/>
  <c r="CF7" i="5"/>
  <c r="CG7" i="5"/>
  <c r="CH7" i="5"/>
  <c r="CI7" i="5"/>
  <c r="CJ7" i="5"/>
  <c r="CK7" i="5"/>
  <c r="CL7" i="5"/>
  <c r="CM7" i="5"/>
  <c r="CN7" i="5"/>
  <c r="CO7" i="5"/>
  <c r="CP7" i="5"/>
  <c r="CQ7" i="5"/>
  <c r="CR7" i="5"/>
  <c r="CS7" i="5"/>
  <c r="CT7" i="5"/>
  <c r="CU7" i="5"/>
  <c r="CV7" i="5"/>
  <c r="CW7" i="5"/>
  <c r="CX7" i="5"/>
  <c r="CY7" i="5"/>
  <c r="CZ7" i="5"/>
  <c r="DA7" i="5"/>
  <c r="DB7" i="5"/>
  <c r="DC7" i="5"/>
  <c r="DD7" i="5"/>
  <c r="DE7" i="5"/>
  <c r="DF7" i="5"/>
  <c r="DG7" i="5"/>
  <c r="DH7" i="5"/>
  <c r="DI7" i="5"/>
  <c r="DJ7" i="5"/>
  <c r="DK7" i="5"/>
  <c r="DL7" i="5"/>
  <c r="DM7" i="5"/>
  <c r="DN7" i="5"/>
  <c r="DO7" i="5"/>
  <c r="DP7" i="5"/>
  <c r="DQ7" i="5"/>
  <c r="DR7" i="5"/>
  <c r="DS7" i="5"/>
  <c r="DT7" i="5"/>
  <c r="DU7" i="5"/>
  <c r="DV7" i="5"/>
  <c r="DW7" i="5"/>
  <c r="DX7" i="5"/>
  <c r="DY7" i="5"/>
  <c r="DZ7" i="5"/>
  <c r="EA7" i="5"/>
  <c r="EB7" i="5"/>
  <c r="EC7" i="5"/>
  <c r="ED7" i="5"/>
  <c r="EE7" i="5"/>
  <c r="EF7" i="5"/>
  <c r="EG7" i="5"/>
  <c r="EH7" i="5"/>
  <c r="EI7" i="5"/>
  <c r="EJ7" i="5"/>
  <c r="EK7" i="5"/>
  <c r="EL7" i="5"/>
  <c r="EM7" i="5"/>
  <c r="EN7" i="5"/>
  <c r="EO7" i="5"/>
  <c r="EP7" i="5"/>
  <c r="EQ7" i="5"/>
  <c r="ER7" i="5"/>
  <c r="ES7" i="5"/>
  <c r="ET7" i="5"/>
  <c r="EU7" i="5"/>
  <c r="EV7" i="5"/>
  <c r="EW7" i="5"/>
  <c r="EX7" i="5"/>
  <c r="EY7" i="5"/>
  <c r="EZ7" i="5"/>
  <c r="FA7" i="5"/>
  <c r="FB7" i="5"/>
  <c r="FC7" i="5"/>
  <c r="FD7" i="5"/>
  <c r="FE7" i="5"/>
  <c r="FF7" i="5"/>
  <c r="FG7" i="5"/>
  <c r="FH7" i="5"/>
  <c r="FI7" i="5"/>
  <c r="FJ7" i="5"/>
  <c r="FK7" i="5"/>
  <c r="FL7" i="5"/>
  <c r="FM7" i="5"/>
  <c r="FN7" i="5"/>
  <c r="FO7" i="5"/>
  <c r="FP7" i="5"/>
  <c r="FQ7" i="5"/>
  <c r="FR7" i="5"/>
  <c r="FS7" i="5"/>
  <c r="FT7" i="5"/>
  <c r="FU7" i="5"/>
  <c r="FV7" i="5"/>
  <c r="FW7" i="5"/>
  <c r="FX7" i="5"/>
  <c r="FY7" i="5"/>
  <c r="FZ7" i="5"/>
  <c r="GA7" i="5"/>
  <c r="GB7" i="5"/>
  <c r="GC7" i="5"/>
  <c r="GD7" i="5"/>
  <c r="GE7" i="5"/>
  <c r="GF7" i="5"/>
  <c r="GG7" i="5"/>
  <c r="GH7" i="5"/>
  <c r="GI7" i="5"/>
  <c r="GJ7" i="5"/>
  <c r="GK7" i="5"/>
  <c r="GL7" i="5"/>
  <c r="GM7" i="5"/>
  <c r="GN7" i="5"/>
  <c r="GO7" i="5"/>
  <c r="GP7" i="5"/>
  <c r="GQ7" i="5"/>
  <c r="GR7" i="5"/>
  <c r="GS7" i="5"/>
  <c r="GT7" i="5"/>
  <c r="GU7" i="5"/>
  <c r="GV7" i="5"/>
  <c r="GW7" i="5"/>
  <c r="GX7" i="5"/>
  <c r="GY7" i="5"/>
  <c r="GZ7" i="5"/>
  <c r="HA7" i="5"/>
  <c r="HB7" i="5"/>
  <c r="HC7" i="5"/>
  <c r="HD7" i="5"/>
  <c r="HE7" i="5"/>
  <c r="HF7" i="5"/>
  <c r="HG7" i="5"/>
  <c r="HH7" i="5"/>
  <c r="HI7" i="5"/>
  <c r="HJ7" i="5"/>
  <c r="HK7" i="5"/>
  <c r="HL7" i="5"/>
  <c r="HM7" i="5"/>
  <c r="HN7" i="5"/>
  <c r="HO7" i="5"/>
  <c r="HP7" i="5"/>
  <c r="HQ7" i="5"/>
  <c r="HR7" i="5"/>
  <c r="HS7" i="5"/>
  <c r="HT7" i="5"/>
  <c r="HU7" i="5"/>
  <c r="HV7" i="5"/>
  <c r="HW7" i="5"/>
  <c r="HX7" i="5"/>
  <c r="HY7" i="5"/>
  <c r="HZ7" i="5"/>
  <c r="IA7" i="5"/>
  <c r="IB7" i="5"/>
  <c r="IC7" i="5"/>
  <c r="ID7" i="5"/>
  <c r="IE7" i="5"/>
  <c r="IF7" i="5"/>
  <c r="IG7" i="5"/>
  <c r="IH7" i="5"/>
  <c r="II7" i="5"/>
  <c r="IJ7" i="5"/>
  <c r="IK7" i="5"/>
  <c r="IL7" i="5"/>
  <c r="IM7" i="5"/>
  <c r="IN7" i="5"/>
  <c r="IO7" i="5"/>
  <c r="IP7" i="5"/>
  <c r="IQ7" i="5"/>
  <c r="IR7" i="5"/>
  <c r="IS7" i="5"/>
  <c r="IT7" i="5"/>
  <c r="IU7" i="5"/>
  <c r="IV7" i="5"/>
  <c r="A6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BC6" i="5"/>
  <c r="BD6" i="5"/>
  <c r="BE6" i="5"/>
  <c r="BF6" i="5"/>
  <c r="BG6" i="5"/>
  <c r="BH6" i="5"/>
  <c r="BI6" i="5"/>
  <c r="BJ6" i="5"/>
  <c r="BK6" i="5"/>
  <c r="BL6" i="5"/>
  <c r="BM6" i="5"/>
  <c r="BN6" i="5"/>
  <c r="BO6" i="5"/>
  <c r="BP6" i="5"/>
  <c r="BQ6" i="5"/>
  <c r="BR6" i="5"/>
  <c r="BS6" i="5"/>
  <c r="BT6" i="5"/>
  <c r="BU6" i="5"/>
  <c r="BV6" i="5"/>
  <c r="BW6" i="5"/>
  <c r="BX6" i="5"/>
  <c r="BY6" i="5"/>
  <c r="BZ6" i="5"/>
  <c r="CA6" i="5"/>
  <c r="CB6" i="5"/>
  <c r="CC6" i="5"/>
  <c r="CD6" i="5"/>
  <c r="CE6" i="5"/>
  <c r="CF6" i="5"/>
  <c r="CG6" i="5"/>
  <c r="CH6" i="5"/>
  <c r="CI6" i="5"/>
  <c r="CJ6" i="5"/>
  <c r="CK6" i="5"/>
  <c r="CL6" i="5"/>
  <c r="CM6" i="5"/>
  <c r="CN6" i="5"/>
  <c r="CO6" i="5"/>
  <c r="CP6" i="5"/>
  <c r="CQ6" i="5"/>
  <c r="CR6" i="5"/>
  <c r="CS6" i="5"/>
  <c r="CT6" i="5"/>
  <c r="CU6" i="5"/>
  <c r="CV6" i="5"/>
  <c r="CW6" i="5"/>
  <c r="CX6" i="5"/>
  <c r="CY6" i="5"/>
  <c r="CZ6" i="5"/>
  <c r="DA6" i="5"/>
  <c r="DB6" i="5"/>
  <c r="DC6" i="5"/>
  <c r="DD6" i="5"/>
  <c r="DE6" i="5"/>
  <c r="DF6" i="5"/>
  <c r="DG6" i="5"/>
  <c r="DH6" i="5"/>
  <c r="DI6" i="5"/>
  <c r="DJ6" i="5"/>
  <c r="DK6" i="5"/>
  <c r="DL6" i="5"/>
  <c r="DM6" i="5"/>
  <c r="DN6" i="5"/>
  <c r="DO6" i="5"/>
  <c r="DP6" i="5"/>
  <c r="DQ6" i="5"/>
  <c r="DR6" i="5"/>
  <c r="DS6" i="5"/>
  <c r="DT6" i="5"/>
  <c r="DU6" i="5"/>
  <c r="DV6" i="5"/>
  <c r="DW6" i="5"/>
  <c r="DX6" i="5"/>
  <c r="DY6" i="5"/>
  <c r="DZ6" i="5"/>
  <c r="EA6" i="5"/>
  <c r="EB6" i="5"/>
  <c r="EC6" i="5"/>
  <c r="ED6" i="5"/>
  <c r="EE6" i="5"/>
  <c r="EF6" i="5"/>
  <c r="EG6" i="5"/>
  <c r="EH6" i="5"/>
  <c r="EI6" i="5"/>
  <c r="EJ6" i="5"/>
  <c r="EK6" i="5"/>
  <c r="EL6" i="5"/>
  <c r="EM6" i="5"/>
  <c r="EN6" i="5"/>
  <c r="EO6" i="5"/>
  <c r="EP6" i="5"/>
  <c r="EQ6" i="5"/>
  <c r="ER6" i="5"/>
  <c r="ES6" i="5"/>
  <c r="ET6" i="5"/>
  <c r="EU6" i="5"/>
  <c r="EV6" i="5"/>
  <c r="EW6" i="5"/>
  <c r="EX6" i="5"/>
  <c r="EY6" i="5"/>
  <c r="EZ6" i="5"/>
  <c r="FA6" i="5"/>
  <c r="FB6" i="5"/>
  <c r="FC6" i="5"/>
  <c r="FD6" i="5"/>
  <c r="FE6" i="5"/>
  <c r="FF6" i="5"/>
  <c r="FG6" i="5"/>
  <c r="FH6" i="5"/>
  <c r="FI6" i="5"/>
  <c r="FJ6" i="5"/>
  <c r="FK6" i="5"/>
  <c r="FL6" i="5"/>
  <c r="FM6" i="5"/>
  <c r="FN6" i="5"/>
  <c r="FO6" i="5"/>
  <c r="FP6" i="5"/>
  <c r="FQ6" i="5"/>
  <c r="FR6" i="5"/>
  <c r="FS6" i="5"/>
  <c r="FT6" i="5"/>
  <c r="FU6" i="5"/>
  <c r="FV6" i="5"/>
  <c r="FW6" i="5"/>
  <c r="FX6" i="5"/>
  <c r="FY6" i="5"/>
  <c r="FZ6" i="5"/>
  <c r="GA6" i="5"/>
  <c r="GB6" i="5"/>
  <c r="GC6" i="5"/>
  <c r="GD6" i="5"/>
  <c r="GE6" i="5"/>
  <c r="GF6" i="5"/>
  <c r="GG6" i="5"/>
  <c r="GH6" i="5"/>
  <c r="GI6" i="5"/>
  <c r="GJ6" i="5"/>
  <c r="GK6" i="5"/>
  <c r="GL6" i="5"/>
  <c r="GM6" i="5"/>
  <c r="GN6" i="5"/>
  <c r="GO6" i="5"/>
  <c r="GP6" i="5"/>
  <c r="GQ6" i="5"/>
  <c r="GR6" i="5"/>
  <c r="GS6" i="5"/>
  <c r="GT6" i="5"/>
  <c r="GU6" i="5"/>
  <c r="GV6" i="5"/>
  <c r="GW6" i="5"/>
  <c r="GX6" i="5"/>
  <c r="GY6" i="5"/>
  <c r="GZ6" i="5"/>
  <c r="HA6" i="5"/>
  <c r="HB6" i="5"/>
  <c r="HC6" i="5"/>
  <c r="HD6" i="5"/>
  <c r="HE6" i="5"/>
  <c r="HF6" i="5"/>
  <c r="HG6" i="5"/>
  <c r="HH6" i="5"/>
  <c r="HI6" i="5"/>
  <c r="HJ6" i="5"/>
  <c r="HK6" i="5"/>
  <c r="HL6" i="5"/>
  <c r="HM6" i="5"/>
  <c r="HN6" i="5"/>
  <c r="HO6" i="5"/>
  <c r="HP6" i="5"/>
  <c r="HQ6" i="5"/>
  <c r="HR6" i="5"/>
  <c r="HS6" i="5"/>
  <c r="HT6" i="5"/>
  <c r="HU6" i="5"/>
  <c r="HV6" i="5"/>
  <c r="HW6" i="5"/>
  <c r="HX6" i="5"/>
  <c r="HY6" i="5"/>
  <c r="HZ6" i="5"/>
  <c r="IA6" i="5"/>
  <c r="IB6" i="5"/>
  <c r="IC6" i="5"/>
  <c r="ID6" i="5"/>
  <c r="IE6" i="5"/>
  <c r="IF6" i="5"/>
  <c r="IG6" i="5"/>
  <c r="IH6" i="5"/>
  <c r="II6" i="5"/>
  <c r="IJ6" i="5"/>
  <c r="IK6" i="5"/>
  <c r="IL6" i="5"/>
  <c r="IM6" i="5"/>
  <c r="IN6" i="5"/>
  <c r="IO6" i="5"/>
  <c r="IP6" i="5"/>
  <c r="IQ6" i="5"/>
  <c r="IR6" i="5"/>
  <c r="IS6" i="5"/>
  <c r="IT6" i="5"/>
  <c r="IU6" i="5"/>
  <c r="IV6" i="5"/>
  <c r="A5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BX5" i="5"/>
  <c r="BY5" i="5"/>
  <c r="BZ5" i="5"/>
  <c r="CA5" i="5"/>
  <c r="CB5" i="5"/>
  <c r="CC5" i="5"/>
  <c r="CD5" i="5"/>
  <c r="CE5" i="5"/>
  <c r="CF5" i="5"/>
  <c r="CG5" i="5"/>
  <c r="CH5" i="5"/>
  <c r="CI5" i="5"/>
  <c r="CJ5" i="5"/>
  <c r="CK5" i="5"/>
  <c r="CL5" i="5"/>
  <c r="CM5" i="5"/>
  <c r="CN5" i="5"/>
  <c r="CO5" i="5"/>
  <c r="CP5" i="5"/>
  <c r="CQ5" i="5"/>
  <c r="CR5" i="5"/>
  <c r="CS5" i="5"/>
  <c r="CT5" i="5"/>
  <c r="CU5" i="5"/>
  <c r="CV5" i="5"/>
  <c r="CW5" i="5"/>
  <c r="CX5" i="5"/>
  <c r="CY5" i="5"/>
  <c r="CZ5" i="5"/>
  <c r="DA5" i="5"/>
  <c r="DB5" i="5"/>
  <c r="DC5" i="5"/>
  <c r="DD5" i="5"/>
  <c r="DE5" i="5"/>
  <c r="DF5" i="5"/>
  <c r="DG5" i="5"/>
  <c r="DH5" i="5"/>
  <c r="DI5" i="5"/>
  <c r="DJ5" i="5"/>
  <c r="DK5" i="5"/>
  <c r="DL5" i="5"/>
  <c r="DM5" i="5"/>
  <c r="DN5" i="5"/>
  <c r="DO5" i="5"/>
  <c r="DP5" i="5"/>
  <c r="DQ5" i="5"/>
  <c r="DR5" i="5"/>
  <c r="DS5" i="5"/>
  <c r="DT5" i="5"/>
  <c r="DU5" i="5"/>
  <c r="DV5" i="5"/>
  <c r="DW5" i="5"/>
  <c r="DX5" i="5"/>
  <c r="DY5" i="5"/>
  <c r="DZ5" i="5"/>
  <c r="EA5" i="5"/>
  <c r="EB5" i="5"/>
  <c r="EC5" i="5"/>
  <c r="ED5" i="5"/>
  <c r="EE5" i="5"/>
  <c r="EF5" i="5"/>
  <c r="EG5" i="5"/>
  <c r="EH5" i="5"/>
  <c r="EI5" i="5"/>
  <c r="EJ5" i="5"/>
  <c r="EK5" i="5"/>
  <c r="EL5" i="5"/>
  <c r="EM5" i="5"/>
  <c r="EN5" i="5"/>
  <c r="EO5" i="5"/>
  <c r="EP5" i="5"/>
  <c r="EQ5" i="5"/>
  <c r="ER5" i="5"/>
  <c r="ES5" i="5"/>
  <c r="ET5" i="5"/>
  <c r="EU5" i="5"/>
  <c r="EV5" i="5"/>
  <c r="EW5" i="5"/>
  <c r="EX5" i="5"/>
  <c r="EY5" i="5"/>
  <c r="EZ5" i="5"/>
  <c r="FA5" i="5"/>
  <c r="FB5" i="5"/>
  <c r="FC5" i="5"/>
  <c r="FD5" i="5"/>
  <c r="FE5" i="5"/>
  <c r="FF5" i="5"/>
  <c r="FG5" i="5"/>
  <c r="FH5" i="5"/>
  <c r="FI5" i="5"/>
  <c r="FJ5" i="5"/>
  <c r="FK5" i="5"/>
  <c r="FL5" i="5"/>
  <c r="FM5" i="5"/>
  <c r="FN5" i="5"/>
  <c r="FO5" i="5"/>
  <c r="FP5" i="5"/>
  <c r="FQ5" i="5"/>
  <c r="FR5" i="5"/>
  <c r="FS5" i="5"/>
  <c r="FT5" i="5"/>
  <c r="FU5" i="5"/>
  <c r="FV5" i="5"/>
  <c r="FW5" i="5"/>
  <c r="FX5" i="5"/>
  <c r="FY5" i="5"/>
  <c r="FZ5" i="5"/>
  <c r="GA5" i="5"/>
  <c r="GB5" i="5"/>
  <c r="GC5" i="5"/>
  <c r="GD5" i="5"/>
  <c r="GE5" i="5"/>
  <c r="GF5" i="5"/>
  <c r="GG5" i="5"/>
  <c r="GH5" i="5"/>
  <c r="GI5" i="5"/>
  <c r="GJ5" i="5"/>
  <c r="GK5" i="5"/>
  <c r="GL5" i="5"/>
  <c r="GM5" i="5"/>
  <c r="GN5" i="5"/>
  <c r="GO5" i="5"/>
  <c r="GP5" i="5"/>
  <c r="GQ5" i="5"/>
  <c r="GR5" i="5"/>
  <c r="GS5" i="5"/>
  <c r="GT5" i="5"/>
  <c r="GU5" i="5"/>
  <c r="GV5" i="5"/>
  <c r="GW5" i="5"/>
  <c r="GX5" i="5"/>
  <c r="GY5" i="5"/>
  <c r="GZ5" i="5"/>
  <c r="HA5" i="5"/>
  <c r="HB5" i="5"/>
  <c r="HC5" i="5"/>
  <c r="HD5" i="5"/>
  <c r="HE5" i="5"/>
  <c r="HF5" i="5"/>
  <c r="HG5" i="5"/>
  <c r="HH5" i="5"/>
  <c r="HI5" i="5"/>
  <c r="HJ5" i="5"/>
  <c r="HK5" i="5"/>
  <c r="HL5" i="5"/>
  <c r="HM5" i="5"/>
  <c r="HN5" i="5"/>
  <c r="HO5" i="5"/>
  <c r="HP5" i="5"/>
  <c r="HQ5" i="5"/>
  <c r="HR5" i="5"/>
  <c r="HS5" i="5"/>
  <c r="HT5" i="5"/>
  <c r="HU5" i="5"/>
  <c r="HV5" i="5"/>
  <c r="HW5" i="5"/>
  <c r="HX5" i="5"/>
  <c r="HY5" i="5"/>
  <c r="HZ5" i="5"/>
  <c r="IA5" i="5"/>
  <c r="IB5" i="5"/>
  <c r="IC5" i="5"/>
  <c r="ID5" i="5"/>
  <c r="IE5" i="5"/>
  <c r="IF5" i="5"/>
  <c r="IG5" i="5"/>
  <c r="IH5" i="5"/>
  <c r="II5" i="5"/>
  <c r="IJ5" i="5"/>
  <c r="IK5" i="5"/>
  <c r="IL5" i="5"/>
  <c r="IM5" i="5"/>
  <c r="IN5" i="5"/>
  <c r="IO5" i="5"/>
  <c r="IP5" i="5"/>
  <c r="IQ5" i="5"/>
  <c r="IR5" i="5"/>
  <c r="IS5" i="5"/>
  <c r="IT5" i="5"/>
  <c r="IU5" i="5"/>
  <c r="IV5" i="5"/>
  <c r="A4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BX4" i="5"/>
  <c r="BY4" i="5"/>
  <c r="BZ4" i="5"/>
  <c r="CA4" i="5"/>
  <c r="CB4" i="5"/>
  <c r="CC4" i="5"/>
  <c r="CD4" i="5"/>
  <c r="CE4" i="5"/>
  <c r="CF4" i="5"/>
  <c r="CG4" i="5"/>
  <c r="CH4" i="5"/>
  <c r="CI4" i="5"/>
  <c r="CJ4" i="5"/>
  <c r="CK4" i="5"/>
  <c r="CL4" i="5"/>
  <c r="CM4" i="5"/>
  <c r="CN4" i="5"/>
  <c r="CO4" i="5"/>
  <c r="CP4" i="5"/>
  <c r="CQ4" i="5"/>
  <c r="CR4" i="5"/>
  <c r="CS4" i="5"/>
  <c r="CT4" i="5"/>
  <c r="CU4" i="5"/>
  <c r="CV4" i="5"/>
  <c r="CW4" i="5"/>
  <c r="CX4" i="5"/>
  <c r="CY4" i="5"/>
  <c r="CZ4" i="5"/>
  <c r="DA4" i="5"/>
  <c r="DB4" i="5"/>
  <c r="DC4" i="5"/>
  <c r="DD4" i="5"/>
  <c r="DE4" i="5"/>
  <c r="DF4" i="5"/>
  <c r="DG4" i="5"/>
  <c r="DH4" i="5"/>
  <c r="DI4" i="5"/>
  <c r="DJ4" i="5"/>
  <c r="DK4" i="5"/>
  <c r="DL4" i="5"/>
  <c r="DM4" i="5"/>
  <c r="DN4" i="5"/>
  <c r="DO4" i="5"/>
  <c r="DP4" i="5"/>
  <c r="DQ4" i="5"/>
  <c r="DR4" i="5"/>
  <c r="DS4" i="5"/>
  <c r="DT4" i="5"/>
  <c r="DU4" i="5"/>
  <c r="DV4" i="5"/>
  <c r="DW4" i="5"/>
  <c r="DX4" i="5"/>
  <c r="DY4" i="5"/>
  <c r="DZ4" i="5"/>
  <c r="EA4" i="5"/>
  <c r="EB4" i="5"/>
  <c r="EC4" i="5"/>
  <c r="ED4" i="5"/>
  <c r="EE4" i="5"/>
  <c r="EF4" i="5"/>
  <c r="EG4" i="5"/>
  <c r="EH4" i="5"/>
  <c r="EI4" i="5"/>
  <c r="EJ4" i="5"/>
  <c r="EK4" i="5"/>
  <c r="EL4" i="5"/>
  <c r="EM4" i="5"/>
  <c r="EN4" i="5"/>
  <c r="EO4" i="5"/>
  <c r="EP4" i="5"/>
  <c r="EQ4" i="5"/>
  <c r="ER4" i="5"/>
  <c r="ES4" i="5"/>
  <c r="ET4" i="5"/>
  <c r="EU4" i="5"/>
  <c r="EV4" i="5"/>
  <c r="EW4" i="5"/>
  <c r="EX4" i="5"/>
  <c r="EY4" i="5"/>
  <c r="EZ4" i="5"/>
  <c r="FA4" i="5"/>
  <c r="FB4" i="5"/>
  <c r="FC4" i="5"/>
  <c r="FD4" i="5"/>
  <c r="FE4" i="5"/>
  <c r="FF4" i="5"/>
  <c r="FG4" i="5"/>
  <c r="FH4" i="5"/>
  <c r="FI4" i="5"/>
  <c r="FJ4" i="5"/>
  <c r="FK4" i="5"/>
  <c r="FL4" i="5"/>
  <c r="FM4" i="5"/>
  <c r="FN4" i="5"/>
  <c r="FO4" i="5"/>
  <c r="FP4" i="5"/>
  <c r="FQ4" i="5"/>
  <c r="FR4" i="5"/>
  <c r="FS4" i="5"/>
  <c r="FT4" i="5"/>
  <c r="FU4" i="5"/>
  <c r="FV4" i="5"/>
  <c r="FW4" i="5"/>
  <c r="FX4" i="5"/>
  <c r="FY4" i="5"/>
  <c r="FZ4" i="5"/>
  <c r="GA4" i="5"/>
  <c r="GB4" i="5"/>
  <c r="GC4" i="5"/>
  <c r="GD4" i="5"/>
  <c r="GE4" i="5"/>
  <c r="GF4" i="5"/>
  <c r="GG4" i="5"/>
  <c r="GH4" i="5"/>
  <c r="GI4" i="5"/>
  <c r="GJ4" i="5"/>
  <c r="GK4" i="5"/>
  <c r="GL4" i="5"/>
  <c r="GM4" i="5"/>
  <c r="A3" i="5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AO3" i="5"/>
  <c r="AP3" i="5"/>
  <c r="AQ3" i="5"/>
  <c r="AR3" i="5"/>
  <c r="AS3" i="5"/>
  <c r="AT3" i="5"/>
  <c r="AU3" i="5"/>
  <c r="AV3" i="5"/>
  <c r="AW3" i="5"/>
  <c r="AX3" i="5"/>
  <c r="AY3" i="5"/>
  <c r="AZ3" i="5"/>
  <c r="BA3" i="5"/>
  <c r="BB3" i="5"/>
  <c r="BC3" i="5"/>
  <c r="BD3" i="5"/>
  <c r="BE3" i="5"/>
  <c r="BF3" i="5"/>
  <c r="BG3" i="5"/>
  <c r="BH3" i="5"/>
  <c r="BI3" i="5"/>
  <c r="BJ3" i="5"/>
  <c r="BK3" i="5"/>
  <c r="BL3" i="5"/>
  <c r="BM3" i="5"/>
  <c r="BN3" i="5"/>
  <c r="BO3" i="5"/>
  <c r="BP3" i="5"/>
  <c r="BQ3" i="5"/>
  <c r="BR3" i="5"/>
  <c r="BS3" i="5"/>
  <c r="BT3" i="5"/>
  <c r="BU3" i="5"/>
  <c r="BV3" i="5"/>
  <c r="BW3" i="5"/>
  <c r="BX3" i="5"/>
  <c r="BY3" i="5"/>
  <c r="BZ3" i="5"/>
  <c r="CA3" i="5"/>
  <c r="CB3" i="5"/>
  <c r="CC3" i="5"/>
  <c r="CD3" i="5"/>
  <c r="CE3" i="5"/>
  <c r="CF3" i="5"/>
  <c r="CG3" i="5"/>
  <c r="CH3" i="5"/>
  <c r="CI3" i="5"/>
  <c r="CJ3" i="5"/>
  <c r="CK3" i="5"/>
  <c r="CL3" i="5"/>
  <c r="CM3" i="5"/>
  <c r="CN3" i="5"/>
  <c r="CO3" i="5"/>
  <c r="CP3" i="5"/>
  <c r="CQ3" i="5"/>
  <c r="CR3" i="5"/>
  <c r="CS3" i="5"/>
  <c r="CT3" i="5"/>
  <c r="CU3" i="5"/>
  <c r="CV3" i="5"/>
  <c r="CW3" i="5"/>
  <c r="CX3" i="5"/>
  <c r="CY3" i="5"/>
  <c r="CZ3" i="5"/>
  <c r="DA3" i="5"/>
  <c r="DB3" i="5"/>
  <c r="DC3" i="5"/>
  <c r="DD3" i="5"/>
  <c r="DE3" i="5"/>
  <c r="DF3" i="5"/>
  <c r="DG3" i="5"/>
  <c r="DH3" i="5"/>
  <c r="DI3" i="5"/>
  <c r="DJ3" i="5"/>
  <c r="DK3" i="5"/>
  <c r="DL3" i="5"/>
  <c r="DM3" i="5"/>
  <c r="DN3" i="5"/>
  <c r="DO3" i="5"/>
  <c r="DP3" i="5"/>
  <c r="DQ3" i="5"/>
  <c r="DR3" i="5"/>
  <c r="DS3" i="5"/>
  <c r="DT3" i="5"/>
  <c r="DU3" i="5"/>
  <c r="DV3" i="5"/>
  <c r="DW3" i="5"/>
  <c r="DX3" i="5"/>
  <c r="DY3" i="5"/>
  <c r="DZ3" i="5"/>
  <c r="EA3" i="5"/>
  <c r="EB3" i="5"/>
  <c r="EC3" i="5"/>
  <c r="ED3" i="5"/>
  <c r="EE3" i="5"/>
  <c r="EF3" i="5"/>
  <c r="EG3" i="5"/>
  <c r="EH3" i="5"/>
  <c r="EI3" i="5"/>
  <c r="EJ3" i="5"/>
  <c r="EK3" i="5"/>
  <c r="EL3" i="5"/>
  <c r="EM3" i="5"/>
  <c r="EN3" i="5"/>
  <c r="EO3" i="5"/>
  <c r="EP3" i="5"/>
  <c r="EQ3" i="5"/>
  <c r="ER3" i="5"/>
  <c r="ES3" i="5"/>
  <c r="ET3" i="5"/>
  <c r="EU3" i="5"/>
  <c r="EV3" i="5"/>
  <c r="EW3" i="5"/>
  <c r="EX3" i="5"/>
  <c r="EY3" i="5"/>
  <c r="EZ3" i="5"/>
  <c r="FA3" i="5"/>
  <c r="FB3" i="5"/>
  <c r="FC3" i="5"/>
  <c r="FD3" i="5"/>
  <c r="FE3" i="5"/>
  <c r="FF3" i="5"/>
  <c r="FG3" i="5"/>
  <c r="FH3" i="5"/>
  <c r="FI3" i="5"/>
  <c r="FJ3" i="5"/>
  <c r="FK3" i="5"/>
  <c r="FL3" i="5"/>
  <c r="FM3" i="5"/>
  <c r="FN3" i="5"/>
  <c r="FO3" i="5"/>
  <c r="FP3" i="5"/>
  <c r="FQ3" i="5"/>
  <c r="FR3" i="5"/>
  <c r="FS3" i="5"/>
  <c r="FT3" i="5"/>
  <c r="FU3" i="5"/>
  <c r="FV3" i="5"/>
  <c r="FW3" i="5"/>
  <c r="FX3" i="5"/>
  <c r="FY3" i="5"/>
  <c r="FZ3" i="5"/>
  <c r="GA3" i="5"/>
  <c r="GB3" i="5"/>
  <c r="GC3" i="5"/>
  <c r="GD3" i="5"/>
  <c r="GE3" i="5"/>
  <c r="GF3" i="5"/>
  <c r="GG3" i="5"/>
  <c r="GH3" i="5"/>
  <c r="GI3" i="5"/>
  <c r="GJ3" i="5"/>
  <c r="GK3" i="5"/>
  <c r="GL3" i="5"/>
  <c r="GM3" i="5"/>
  <c r="GN3" i="5"/>
  <c r="GO3" i="5"/>
  <c r="GP3" i="5"/>
  <c r="GQ3" i="5"/>
  <c r="GR3" i="5"/>
  <c r="GS3" i="5"/>
  <c r="GT3" i="5"/>
  <c r="GU3" i="5"/>
  <c r="GV3" i="5"/>
  <c r="GW3" i="5"/>
  <c r="GX3" i="5"/>
  <c r="GY3" i="5"/>
  <c r="GZ3" i="5"/>
  <c r="HA3" i="5"/>
  <c r="HB3" i="5"/>
  <c r="HC3" i="5"/>
  <c r="HD3" i="5"/>
  <c r="HE3" i="5"/>
  <c r="HF3" i="5"/>
  <c r="HG3" i="5"/>
  <c r="HH3" i="5"/>
  <c r="HI3" i="5"/>
  <c r="HJ3" i="5"/>
  <c r="HK3" i="5"/>
  <c r="HL3" i="5"/>
  <c r="HM3" i="5"/>
  <c r="HN3" i="5"/>
  <c r="HO3" i="5"/>
  <c r="HP3" i="5"/>
  <c r="HQ3" i="5"/>
  <c r="HR3" i="5"/>
  <c r="HS3" i="5"/>
  <c r="HT3" i="5"/>
  <c r="HU3" i="5"/>
  <c r="HV3" i="5"/>
  <c r="HW3" i="5"/>
  <c r="HX3" i="5"/>
  <c r="HY3" i="5"/>
  <c r="HZ3" i="5"/>
  <c r="IA3" i="5"/>
  <c r="IB3" i="5"/>
  <c r="IC3" i="5"/>
  <c r="ID3" i="5"/>
  <c r="IE3" i="5"/>
  <c r="IF3" i="5"/>
  <c r="IG3" i="5"/>
  <c r="IH3" i="5"/>
  <c r="II3" i="5"/>
  <c r="IJ3" i="5"/>
  <c r="IK3" i="5"/>
  <c r="IL3" i="5"/>
  <c r="IM3" i="5"/>
  <c r="IN3" i="5"/>
  <c r="IO3" i="5"/>
  <c r="IP3" i="5"/>
  <c r="IQ3" i="5"/>
  <c r="IR3" i="5"/>
  <c r="IS3" i="5"/>
  <c r="IT3" i="5"/>
  <c r="IU3" i="5"/>
  <c r="IV3" i="5"/>
  <c r="A2" i="5"/>
  <c r="B2" i="5"/>
  <c r="C2" i="5"/>
  <c r="D2" i="5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AZ2" i="5"/>
  <c r="BA2" i="5"/>
  <c r="BB2" i="5"/>
  <c r="BC2" i="5"/>
  <c r="BD2" i="5"/>
  <c r="BE2" i="5"/>
  <c r="BF2" i="5"/>
  <c r="BG2" i="5"/>
  <c r="BH2" i="5"/>
  <c r="BI2" i="5"/>
  <c r="BJ2" i="5"/>
  <c r="BK2" i="5"/>
  <c r="BL2" i="5"/>
  <c r="BM2" i="5"/>
  <c r="BN2" i="5"/>
  <c r="BO2" i="5"/>
  <c r="BP2" i="5"/>
  <c r="BQ2" i="5"/>
  <c r="BR2" i="5"/>
  <c r="BS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DL2" i="5"/>
  <c r="DM2" i="5"/>
  <c r="DN2" i="5"/>
  <c r="DO2" i="5"/>
  <c r="DP2" i="5"/>
  <c r="DQ2" i="5"/>
  <c r="DR2" i="5"/>
  <c r="DS2" i="5"/>
  <c r="DT2" i="5"/>
  <c r="DU2" i="5"/>
  <c r="DV2" i="5"/>
  <c r="DW2" i="5"/>
  <c r="DX2" i="5"/>
  <c r="DY2" i="5"/>
  <c r="DZ2" i="5"/>
  <c r="EA2" i="5"/>
  <c r="EB2" i="5"/>
  <c r="EC2" i="5"/>
  <c r="ED2" i="5"/>
  <c r="EE2" i="5"/>
  <c r="EF2" i="5"/>
  <c r="EG2" i="5"/>
  <c r="EH2" i="5"/>
  <c r="EI2" i="5"/>
  <c r="EJ2" i="5"/>
  <c r="EK2" i="5"/>
  <c r="EL2" i="5"/>
  <c r="EM2" i="5"/>
  <c r="EN2" i="5"/>
  <c r="EO2" i="5"/>
  <c r="EP2" i="5"/>
  <c r="EQ2" i="5"/>
  <c r="ER2" i="5"/>
  <c r="ES2" i="5"/>
  <c r="ET2" i="5"/>
  <c r="EU2" i="5"/>
  <c r="EV2" i="5"/>
  <c r="EW2" i="5"/>
  <c r="EX2" i="5"/>
  <c r="EY2" i="5"/>
  <c r="EZ2" i="5"/>
  <c r="FA2" i="5"/>
  <c r="FB2" i="5"/>
  <c r="FC2" i="5"/>
  <c r="FD2" i="5"/>
  <c r="FE2" i="5"/>
  <c r="FF2" i="5"/>
  <c r="FG2" i="5"/>
  <c r="FH2" i="5"/>
  <c r="FI2" i="5"/>
  <c r="FJ2" i="5"/>
  <c r="FK2" i="5"/>
  <c r="FL2" i="5"/>
  <c r="FM2" i="5"/>
  <c r="FN2" i="5"/>
  <c r="FO2" i="5"/>
  <c r="FP2" i="5"/>
  <c r="FQ2" i="5"/>
  <c r="FR2" i="5"/>
  <c r="FS2" i="5"/>
  <c r="FT2" i="5"/>
  <c r="FU2" i="5"/>
  <c r="FV2" i="5"/>
  <c r="FW2" i="5"/>
  <c r="FX2" i="5"/>
  <c r="FY2" i="5"/>
  <c r="FZ2" i="5"/>
  <c r="GA2" i="5"/>
  <c r="GB2" i="5"/>
  <c r="GC2" i="5"/>
  <c r="GD2" i="5"/>
  <c r="GE2" i="5"/>
  <c r="GF2" i="5"/>
  <c r="GG2" i="5"/>
  <c r="GH2" i="5"/>
  <c r="GI2" i="5"/>
  <c r="GJ2" i="5"/>
  <c r="GK2" i="5"/>
  <c r="GL2" i="5"/>
  <c r="GM2" i="5"/>
  <c r="GN2" i="5"/>
  <c r="GO2" i="5"/>
  <c r="GP2" i="5"/>
  <c r="GQ2" i="5"/>
  <c r="GR2" i="5"/>
  <c r="GS2" i="5"/>
  <c r="GT2" i="5"/>
  <c r="GU2" i="5"/>
  <c r="GV2" i="5"/>
  <c r="GW2" i="5"/>
  <c r="GX2" i="5"/>
  <c r="GY2" i="5"/>
  <c r="GZ2" i="5"/>
  <c r="HA2" i="5"/>
  <c r="HB2" i="5"/>
  <c r="HC2" i="5"/>
  <c r="HD2" i="5"/>
  <c r="HE2" i="5"/>
  <c r="HF2" i="5"/>
  <c r="HG2" i="5"/>
  <c r="HH2" i="5"/>
  <c r="HI2" i="5"/>
  <c r="HJ2" i="5"/>
  <c r="HK2" i="5"/>
  <c r="HL2" i="5"/>
  <c r="HM2" i="5"/>
  <c r="HN2" i="5"/>
  <c r="HO2" i="5"/>
  <c r="HP2" i="5"/>
  <c r="HQ2" i="5"/>
  <c r="HR2" i="5"/>
  <c r="HS2" i="5"/>
  <c r="HT2" i="5"/>
  <c r="HU2" i="5"/>
  <c r="HV2" i="5"/>
  <c r="HW2" i="5"/>
  <c r="HX2" i="5"/>
  <c r="HY2" i="5"/>
  <c r="HZ2" i="5"/>
  <c r="IA2" i="5"/>
  <c r="IB2" i="5"/>
  <c r="IC2" i="5"/>
  <c r="ID2" i="5"/>
  <c r="IE2" i="5"/>
  <c r="IF2" i="5"/>
  <c r="IG2" i="5"/>
  <c r="IH2" i="5"/>
  <c r="II2" i="5"/>
  <c r="IJ2" i="5"/>
  <c r="IK2" i="5"/>
  <c r="IL2" i="5"/>
  <c r="IM2" i="5"/>
  <c r="IN2" i="5"/>
  <c r="IO2" i="5"/>
  <c r="IP2" i="5"/>
  <c r="IQ2" i="5"/>
  <c r="IR2" i="5"/>
  <c r="IS2" i="5"/>
  <c r="IT2" i="5"/>
  <c r="IU2" i="5"/>
  <c r="IV2" i="5"/>
  <c r="A1" i="5"/>
  <c r="B1" i="5"/>
  <c r="C1" i="5"/>
  <c r="D1" i="5"/>
  <c r="E1" i="5"/>
  <c r="F1" i="5"/>
  <c r="G1" i="5"/>
  <c r="H1" i="5"/>
  <c r="I1" i="5"/>
  <c r="J1" i="5"/>
  <c r="K1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AH1" i="5"/>
  <c r="AI1" i="5"/>
  <c r="AJ1" i="5"/>
  <c r="AK1" i="5"/>
  <c r="AL1" i="5"/>
  <c r="AM1" i="5"/>
  <c r="AN1" i="5"/>
  <c r="AO1" i="5"/>
  <c r="AP1" i="5"/>
  <c r="AQ1" i="5"/>
  <c r="AR1" i="5"/>
  <c r="AS1" i="5"/>
  <c r="AT1" i="5"/>
  <c r="AU1" i="5"/>
  <c r="AV1" i="5"/>
  <c r="AW1" i="5"/>
  <c r="AX1" i="5"/>
  <c r="AY1" i="5"/>
  <c r="AZ1" i="5"/>
  <c r="BA1" i="5"/>
  <c r="BB1" i="5"/>
  <c r="BC1" i="5"/>
  <c r="BD1" i="5"/>
  <c r="BE1" i="5"/>
  <c r="BF1" i="5"/>
  <c r="BG1" i="5"/>
  <c r="BH1" i="5"/>
  <c r="BI1" i="5"/>
  <c r="BJ1" i="5"/>
  <c r="BK1" i="5"/>
  <c r="BL1" i="5"/>
  <c r="BM1" i="5"/>
  <c r="BN1" i="5"/>
  <c r="BO1" i="5"/>
  <c r="BP1" i="5"/>
  <c r="BQ1" i="5"/>
  <c r="BR1" i="5"/>
  <c r="BS1" i="5"/>
  <c r="BT1" i="5"/>
  <c r="BU1" i="5"/>
  <c r="BV1" i="5"/>
  <c r="BW1" i="5"/>
  <c r="BX1" i="5"/>
  <c r="BY1" i="5"/>
  <c r="BZ1" i="5"/>
  <c r="CA1" i="5"/>
  <c r="CB1" i="5"/>
  <c r="CC1" i="5"/>
  <c r="CD1" i="5"/>
  <c r="CE1" i="5"/>
  <c r="CF1" i="5"/>
  <c r="CG1" i="5"/>
  <c r="CH1" i="5"/>
  <c r="CI1" i="5"/>
  <c r="CJ1" i="5"/>
  <c r="CK1" i="5"/>
  <c r="CL1" i="5"/>
  <c r="CM1" i="5"/>
  <c r="CN1" i="5"/>
  <c r="CO1" i="5"/>
  <c r="CP1" i="5"/>
  <c r="CQ1" i="5"/>
  <c r="CR1" i="5"/>
  <c r="CS1" i="5"/>
  <c r="CT1" i="5"/>
  <c r="CU1" i="5"/>
  <c r="CV1" i="5"/>
  <c r="CW1" i="5"/>
  <c r="CX1" i="5"/>
  <c r="CY1" i="5"/>
  <c r="CZ1" i="5"/>
  <c r="DA1" i="5"/>
  <c r="DB1" i="5"/>
  <c r="DC1" i="5"/>
  <c r="DD1" i="5"/>
  <c r="DE1" i="5"/>
  <c r="DF1" i="5"/>
  <c r="DG1" i="5"/>
  <c r="DH1" i="5"/>
  <c r="DI1" i="5"/>
  <c r="DJ1" i="5"/>
  <c r="DK1" i="5"/>
  <c r="DL1" i="5"/>
  <c r="DM1" i="5"/>
  <c r="DN1" i="5"/>
  <c r="DO1" i="5"/>
  <c r="DP1" i="5"/>
  <c r="DQ1" i="5"/>
  <c r="DR1" i="5"/>
  <c r="DS1" i="5"/>
  <c r="DT1" i="5"/>
  <c r="DU1" i="5"/>
  <c r="DV1" i="5"/>
  <c r="DW1" i="5"/>
  <c r="DX1" i="5"/>
  <c r="DY1" i="5"/>
  <c r="DZ1" i="5"/>
  <c r="EA1" i="5"/>
  <c r="EB1" i="5"/>
  <c r="EC1" i="5"/>
  <c r="ED1" i="5"/>
  <c r="EE1" i="5"/>
  <c r="EF1" i="5"/>
  <c r="EG1" i="5"/>
  <c r="EH1" i="5"/>
  <c r="EI1" i="5"/>
  <c r="EJ1" i="5"/>
  <c r="EK1" i="5"/>
  <c r="EL1" i="5"/>
  <c r="EM1" i="5"/>
  <c r="EN1" i="5"/>
  <c r="EO1" i="5"/>
  <c r="EP1" i="5"/>
  <c r="EQ1" i="5"/>
  <c r="ER1" i="5"/>
  <c r="ES1" i="5"/>
  <c r="ET1" i="5"/>
  <c r="EU1" i="5"/>
  <c r="EV1" i="5"/>
  <c r="EW1" i="5"/>
  <c r="EX1" i="5"/>
  <c r="EY1" i="5"/>
  <c r="EZ1" i="5"/>
  <c r="FA1" i="5"/>
  <c r="FB1" i="5"/>
  <c r="FC1" i="5"/>
  <c r="FD1" i="5"/>
  <c r="FE1" i="5"/>
  <c r="FF1" i="5"/>
  <c r="FG1" i="5"/>
  <c r="FH1" i="5"/>
  <c r="FI1" i="5"/>
  <c r="FJ1" i="5"/>
  <c r="FK1" i="5"/>
  <c r="FL1" i="5"/>
  <c r="FM1" i="5"/>
  <c r="FN1" i="5"/>
  <c r="FO1" i="5"/>
  <c r="FP1" i="5"/>
  <c r="FQ1" i="5"/>
  <c r="FR1" i="5"/>
  <c r="FS1" i="5"/>
  <c r="FT1" i="5"/>
  <c r="FU1" i="5"/>
  <c r="FV1" i="5"/>
  <c r="FW1" i="5"/>
  <c r="FX1" i="5"/>
  <c r="FY1" i="5"/>
  <c r="FZ1" i="5"/>
  <c r="GA1" i="5"/>
  <c r="GB1" i="5"/>
  <c r="GC1" i="5"/>
  <c r="GD1" i="5"/>
  <c r="GE1" i="5"/>
  <c r="GF1" i="5"/>
  <c r="GG1" i="5"/>
  <c r="GH1" i="5"/>
  <c r="GI1" i="5"/>
  <c r="GJ1" i="5"/>
  <c r="GK1" i="5"/>
  <c r="GL1" i="5"/>
  <c r="GM1" i="5"/>
  <c r="GN1" i="5"/>
  <c r="GO1" i="5"/>
  <c r="GP1" i="5"/>
  <c r="GQ1" i="5"/>
  <c r="GR1" i="5"/>
  <c r="GS1" i="5"/>
  <c r="GT1" i="5"/>
  <c r="GU1" i="5"/>
  <c r="GV1" i="5"/>
  <c r="GW1" i="5"/>
  <c r="GX1" i="5"/>
  <c r="GY1" i="5"/>
  <c r="GZ1" i="5"/>
  <c r="HA1" i="5"/>
  <c r="HB1" i="5"/>
  <c r="HC1" i="5"/>
  <c r="HD1" i="5"/>
  <c r="HE1" i="5"/>
  <c r="HF1" i="5"/>
  <c r="HG1" i="5"/>
  <c r="HH1" i="5"/>
  <c r="HI1" i="5"/>
  <c r="HJ1" i="5"/>
  <c r="HK1" i="5"/>
  <c r="HL1" i="5"/>
  <c r="HM1" i="5"/>
  <c r="HN1" i="5"/>
  <c r="HO1" i="5"/>
  <c r="HP1" i="5"/>
  <c r="HQ1" i="5"/>
  <c r="HR1" i="5"/>
  <c r="HS1" i="5"/>
  <c r="HT1" i="5"/>
  <c r="HU1" i="5"/>
  <c r="HV1" i="5"/>
  <c r="HW1" i="5"/>
  <c r="HX1" i="5"/>
  <c r="HY1" i="5"/>
  <c r="HZ1" i="5"/>
  <c r="IA1" i="5"/>
  <c r="IB1" i="5"/>
  <c r="IC1" i="5"/>
  <c r="ID1" i="5"/>
  <c r="IE1" i="5"/>
  <c r="IF1" i="5"/>
  <c r="IG1" i="5"/>
  <c r="IH1" i="5"/>
  <c r="II1" i="5"/>
  <c r="IJ1" i="5"/>
  <c r="IK1" i="5"/>
  <c r="IL1" i="5"/>
  <c r="IM1" i="5"/>
  <c r="IN1" i="5"/>
  <c r="IO1" i="5"/>
  <c r="IP1" i="5"/>
  <c r="IQ1" i="5"/>
  <c r="IR1" i="5"/>
  <c r="IS1" i="5"/>
  <c r="IT1" i="5"/>
  <c r="IU1" i="5"/>
  <c r="IV1" i="5"/>
</calcChain>
</file>

<file path=xl/sharedStrings.xml><?xml version="1.0" encoding="utf-8"?>
<sst xmlns="http://schemas.openxmlformats.org/spreadsheetml/2006/main" count="217" uniqueCount="109">
  <si>
    <t>下學期</t>
    <phoneticPr fontId="2" type="noConversion"/>
  </si>
  <si>
    <t>專業選修</t>
    <phoneticPr fontId="2" type="noConversion"/>
  </si>
  <si>
    <t>法律類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</si>
  <si>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</si>
  <si>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</si>
  <si>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</si>
  <si>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</si>
  <si>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</si>
  <si>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小計</t>
    <phoneticPr fontId="2" type="noConversion"/>
  </si>
  <si>
    <t>財經類</t>
    <phoneticPr fontId="2" type="noConversion"/>
  </si>
  <si>
    <t>上學期</t>
    <phoneticPr fontId="2" type="noConversion"/>
  </si>
  <si>
    <t>科目類別</t>
    <phoneticPr fontId="2" type="noConversion"/>
  </si>
  <si>
    <t>民法-總則</t>
    <phoneticPr fontId="2" type="noConversion"/>
  </si>
  <si>
    <t>刑法-總則</t>
    <phoneticPr fontId="2" type="noConversion"/>
  </si>
  <si>
    <t>刑法-分則</t>
    <phoneticPr fontId="2" type="noConversion"/>
  </si>
  <si>
    <t>公司法</t>
    <phoneticPr fontId="2" type="noConversion"/>
  </si>
  <si>
    <t>小計</t>
    <phoneticPr fontId="2" type="noConversion"/>
  </si>
  <si>
    <t>上學期</t>
    <phoneticPr fontId="2" type="noConversion"/>
  </si>
  <si>
    <t>下學期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</si>
  <si>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</si>
  <si>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</si>
  <si>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</si>
  <si>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專業必修</t>
    <phoneticPr fontId="2" type="noConversion"/>
  </si>
  <si>
    <t>WTO法專題研討</t>
    <phoneticPr fontId="2" type="noConversion"/>
  </si>
  <si>
    <t>財經類</t>
    <phoneticPr fontId="2" type="noConversion"/>
  </si>
  <si>
    <t>上學期</t>
    <phoneticPr fontId="2" type="noConversion"/>
  </si>
  <si>
    <t>下學期</t>
    <phoneticPr fontId="2" type="noConversion"/>
  </si>
  <si>
    <t>科目類別</t>
    <phoneticPr fontId="2" type="noConversion"/>
  </si>
  <si>
    <t>課程代碼</t>
    <phoneticPr fontId="2" type="noConversion"/>
  </si>
  <si>
    <t>財經類</t>
    <phoneticPr fontId="2" type="noConversion"/>
  </si>
  <si>
    <t>一、  本時序表僅為開課時序，相關畢業標準請參閱「財經法律研究所碩士班修業辦法」。</t>
    <phoneticPr fontId="2" type="noConversion"/>
  </si>
  <si>
    <t>憲法</t>
    <phoneticPr fontId="2" type="noConversion"/>
  </si>
  <si>
    <t>行政法</t>
  </si>
  <si>
    <t>票據法</t>
    <phoneticPr fontId="2" type="noConversion"/>
  </si>
  <si>
    <t>民事訴訟法(一)</t>
    <phoneticPr fontId="2" type="noConversion"/>
  </si>
  <si>
    <t>保險法</t>
    <phoneticPr fontId="2" type="noConversion"/>
  </si>
  <si>
    <t>法律倫理</t>
    <phoneticPr fontId="2" type="noConversion"/>
  </si>
  <si>
    <t>民事訴訟法(二)</t>
    <phoneticPr fontId="2" type="noConversion"/>
  </si>
  <si>
    <t>強制執行法</t>
    <phoneticPr fontId="2" type="noConversion"/>
  </si>
  <si>
    <t>研究方法及法律論文寫作</t>
    <phoneticPr fontId="2" type="noConversion"/>
  </si>
  <si>
    <t>總計</t>
    <phoneticPr fontId="2" type="noConversion"/>
  </si>
  <si>
    <t>總計</t>
  </si>
  <si>
    <t>總計</t>
    <phoneticPr fontId="2" type="noConversion"/>
  </si>
  <si>
    <r>
      <t>南台科技大學 財經法律研究所  碩士班/英文法務組(</t>
    </r>
    <r>
      <rPr>
        <sz val="12"/>
        <rFont val="新細明體"/>
        <family val="1"/>
        <charset val="136"/>
      </rPr>
      <t>第</t>
    </r>
    <r>
      <rPr>
        <sz val="12"/>
        <rFont val="新細明體"/>
        <family val="1"/>
        <charset val="136"/>
      </rPr>
      <t>1</t>
    </r>
    <r>
      <rPr>
        <sz val="12"/>
        <rFont val="新細明體"/>
        <family val="1"/>
        <charset val="136"/>
      </rPr>
      <t>屆</t>
    </r>
    <r>
      <rPr>
        <sz val="12"/>
        <rFont val="新細明體"/>
        <family val="1"/>
        <charset val="136"/>
      </rPr>
      <t xml:space="preserve">)  </t>
    </r>
    <r>
      <rPr>
        <sz val="12"/>
        <rFont val="新細明體"/>
        <family val="1"/>
        <charset val="136"/>
      </rPr>
      <t>開課時序表</t>
    </r>
    <r>
      <rPr>
        <sz val="12"/>
        <rFont val="新細明體"/>
        <family val="1"/>
        <charset val="136"/>
      </rPr>
      <t xml:space="preserve">   101 </t>
    </r>
    <r>
      <rPr>
        <sz val="12"/>
        <rFont val="新細明體"/>
        <family val="1"/>
        <charset val="136"/>
      </rPr>
      <t>年</t>
    </r>
    <r>
      <rPr>
        <sz val="12"/>
        <rFont val="新細明體"/>
        <family val="1"/>
        <charset val="136"/>
      </rPr>
      <t xml:space="preserve"> 9 </t>
    </r>
    <r>
      <rPr>
        <sz val="12"/>
        <rFont val="新細明體"/>
        <family val="1"/>
        <charset val="136"/>
      </rPr>
      <t>月實施</t>
    </r>
    <phoneticPr fontId="2" type="noConversion"/>
  </si>
  <si>
    <t>第  一  學  年( 101 年 9 月 至 102 年 6 月)</t>
    <phoneticPr fontId="2" type="noConversion"/>
  </si>
  <si>
    <t>第  二  學  年( 102 年 9 月 至 103 年 6 月)</t>
    <phoneticPr fontId="2" type="noConversion"/>
  </si>
  <si>
    <t>第  三  學  年( 103 年 9 月 至 104 年 6 月)</t>
    <phoneticPr fontId="2" type="noConversion"/>
  </si>
  <si>
    <t>民法-債編(一)</t>
    <phoneticPr fontId="2" type="noConversion"/>
  </si>
  <si>
    <t>民法-債編(二)</t>
    <phoneticPr fontId="2" type="noConversion"/>
  </si>
  <si>
    <t>專業實務選修</t>
    <phoneticPr fontId="2" type="noConversion"/>
  </si>
  <si>
    <t>訴狀寫作實務</t>
    <phoneticPr fontId="2" type="noConversion"/>
  </si>
  <si>
    <t>法律實務研習</t>
    <phoneticPr fontId="2" type="noConversion"/>
  </si>
  <si>
    <t>契約寫作實務</t>
    <phoneticPr fontId="2" type="noConversion"/>
  </si>
  <si>
    <t>共同專業選修</t>
    <phoneticPr fontId="2" type="noConversion"/>
  </si>
  <si>
    <t>公平交易法專題研討</t>
    <phoneticPr fontId="2" type="noConversion"/>
  </si>
  <si>
    <t>消費者保護法專題研討</t>
    <phoneticPr fontId="2" type="noConversion"/>
  </si>
  <si>
    <t>勞工法專題研討</t>
    <phoneticPr fontId="2" type="noConversion"/>
  </si>
  <si>
    <t>英文法律文件寫作</t>
    <phoneticPr fontId="2" type="noConversion"/>
  </si>
  <si>
    <t>英文法院書狀閱讀</t>
    <phoneticPr fontId="2" type="noConversion"/>
  </si>
  <si>
    <t>小計</t>
    <phoneticPr fontId="2" type="noConversion"/>
  </si>
  <si>
    <t>學程專業選修</t>
    <phoneticPr fontId="2" type="noConversion"/>
  </si>
  <si>
    <t>英美法律名著選讀</t>
    <phoneticPr fontId="2" type="noConversion"/>
  </si>
  <si>
    <t xml:space="preserve">智慧財產權法專題研討 </t>
    <phoneticPr fontId="2" type="noConversion"/>
  </si>
  <si>
    <t>網路與電子商務法專題研討</t>
    <phoneticPr fontId="2" type="noConversion"/>
  </si>
  <si>
    <t>智慧財產權授權實務</t>
    <phoneticPr fontId="2" type="noConversion"/>
  </si>
  <si>
    <t>娛樂法專題研討</t>
    <phoneticPr fontId="2" type="noConversion"/>
  </si>
  <si>
    <t>公司法專題研討</t>
    <phoneticPr fontId="2" type="noConversion"/>
  </si>
  <si>
    <t>金融法專題研討</t>
    <phoneticPr fontId="2" type="noConversion"/>
  </si>
  <si>
    <t>經濟行政法專題研討</t>
    <phoneticPr fontId="2" type="noConversion"/>
  </si>
  <si>
    <t>票據法專題研討</t>
    <phoneticPr fontId="2" type="noConversion"/>
  </si>
  <si>
    <t>證券交易法專題研討</t>
    <phoneticPr fontId="2" type="noConversion"/>
  </si>
  <si>
    <t>專業選修</t>
    <phoneticPr fontId="2" type="noConversion"/>
  </si>
  <si>
    <t>創業投資專題研討</t>
    <phoneticPr fontId="2" type="noConversion"/>
  </si>
  <si>
    <t>金融市場理論與實務</t>
    <phoneticPr fontId="2" type="noConversion"/>
  </si>
  <si>
    <t>公平交易與行銷專題研討</t>
    <phoneticPr fontId="2" type="noConversion"/>
  </si>
  <si>
    <t>財務報表分析專題研討</t>
    <phoneticPr fontId="2" type="noConversion"/>
  </si>
  <si>
    <t>英文契約實務</t>
    <phoneticPr fontId="2" type="noConversion"/>
  </si>
  <si>
    <t>跨國商務法律問題研究</t>
    <phoneticPr fontId="2" type="noConversion"/>
  </si>
  <si>
    <t>智慧財產技術移轉專題研討</t>
    <phoneticPr fontId="2" type="noConversion"/>
  </si>
  <si>
    <t>企業併購法專題研討</t>
    <phoneticPr fontId="2" type="noConversion"/>
  </si>
  <si>
    <t>國際投資法專題研討</t>
    <phoneticPr fontId="2" type="noConversion"/>
  </si>
  <si>
    <t>國際商務談判</t>
    <phoneticPr fontId="2" type="noConversion"/>
  </si>
  <si>
    <t>國際企業併購法制專題研討</t>
    <phoneticPr fontId="2" type="noConversion"/>
  </si>
  <si>
    <t>仲裁法專題研討</t>
    <phoneticPr fontId="2" type="noConversion"/>
  </si>
  <si>
    <t>法律機構實務實習</t>
    <phoneticPr fontId="2" type="noConversion"/>
  </si>
  <si>
    <t>法律機構實務實習(暑)</t>
    <phoneticPr fontId="2" type="noConversion"/>
  </si>
  <si>
    <t>企業管理實務專題研討</t>
    <phoneticPr fontId="2" type="noConversion"/>
  </si>
  <si>
    <t>證券市場結構與機制</t>
    <phoneticPr fontId="2" type="noConversion"/>
  </si>
  <si>
    <t>證券交易法</t>
    <phoneticPr fontId="2" type="noConversion"/>
  </si>
  <si>
    <t>刑事訴訟法(一)</t>
    <phoneticPr fontId="2" type="noConversion"/>
  </si>
  <si>
    <t>海商法</t>
    <phoneticPr fontId="2" type="noConversion"/>
  </si>
  <si>
    <t>國際公法</t>
    <phoneticPr fontId="2" type="noConversion"/>
  </si>
  <si>
    <t>刑事訴訟法(二)</t>
    <phoneticPr fontId="2" type="noConversion"/>
  </si>
  <si>
    <t>國際私法</t>
    <phoneticPr fontId="2" type="noConversion"/>
  </si>
  <si>
    <t>三、   英文法務組學生在未修畢一年級先修學分前，不得選修法律類專業選修課程。</t>
    <phoneticPr fontId="2" type="noConversion"/>
  </si>
  <si>
    <t>四、   申請學分抵免者，該科成績須達75分(含)以上，方得准予抵免，先修學分之抵免無學分上限，法律類及財經類抵免總學分以9學分為上限。</t>
    <phoneticPr fontId="2" type="noConversion"/>
  </si>
  <si>
    <t>五、   研究生因研究需要，經指導教授及其他各相關系所主任之同意得選修其他(系)所開授之科目，其學分得列入財經類專業選修畢業學分之計算。</t>
    <phoneticPr fontId="2" type="noConversion"/>
  </si>
  <si>
    <t>六、 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  <phoneticPr fontId="2" type="noConversion"/>
  </si>
  <si>
    <t>七、 專業選修科目可視需要增開或調整學分數及上課時數。</t>
    <phoneticPr fontId="2" type="noConversion"/>
  </si>
  <si>
    <t>八、 學業平均成績與學位考試成績之平均為畢業成績。</t>
    <phoneticPr fontId="2" type="noConversion"/>
  </si>
  <si>
    <t>九、 本表請學生妥為保存，做為辦理選課、重（補）修、及畢業資格審查之參考。</t>
    <phoneticPr fontId="2" type="noConversion"/>
  </si>
  <si>
    <t>先修必修</t>
    <phoneticPr fontId="2" type="noConversion"/>
  </si>
  <si>
    <t>先修選修</t>
    <phoneticPr fontId="2" type="noConversion"/>
  </si>
  <si>
    <t>先修選修</t>
    <phoneticPr fontId="2" type="noConversion"/>
  </si>
  <si>
    <t>備註：</t>
    <phoneticPr fontId="2" type="noConversion"/>
  </si>
  <si>
    <t>民法-物權編</t>
    <phoneticPr fontId="2" type="noConversion"/>
  </si>
  <si>
    <t>英美法導論</t>
    <phoneticPr fontId="2" type="noConversion"/>
  </si>
  <si>
    <t>二、   總畢業學分數（未含先修必修及先修選修學分）至少34學分，包括「專業必修」6學分、財經類「專業選修」學分至少6學分、法律類「專業實務選修」學分至少6學分，另應選修本組之「學程專業選修」學分至少8學分、其餘為非學程以外之法律類「共同專業選修」學分。畢業論文6學分另計。「先修必修」學分為36學分，「 先修選修」學分可自由選修，均不列入總畢業學分數計算。</t>
    <phoneticPr fontId="2" type="noConversion"/>
  </si>
  <si>
    <t>民法-身分法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</si>
</sst>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0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1" xfId="0" applyFont="1" applyBorder="1">
      <alignment vertical="center"/>
    </xf>
    <xf numFmtId="0" fontId="5" fillId="0" borderId="7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8" xfId="0" applyFont="1" applyFill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Fill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>
      <alignment vertical="center"/>
    </xf>
    <xf numFmtId="0" fontId="5" fillId="0" borderId="14" xfId="0" applyFont="1" applyBorder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>
      <alignment vertical="center"/>
    </xf>
    <xf numFmtId="0" fontId="5" fillId="0" borderId="9" xfId="0" applyFont="1" applyFill="1" applyBorder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8" xfId="0" applyFont="1" applyBorder="1">
      <alignment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27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8" xfId="0" applyFont="1" applyFill="1" applyBorder="1">
      <alignment vertical="center"/>
    </xf>
    <xf numFmtId="0" fontId="7" fillId="0" borderId="19" xfId="0" applyFont="1" applyBorder="1" applyAlignment="1">
      <alignment horizontal="center" vertical="center" wrapText="1"/>
    </xf>
    <xf numFmtId="0" fontId="5" fillId="0" borderId="20" xfId="0" applyFont="1" applyFill="1" applyBorder="1">
      <alignment vertical="center"/>
    </xf>
    <xf numFmtId="0" fontId="5" fillId="0" borderId="22" xfId="0" applyFont="1" applyFill="1" applyBorder="1">
      <alignment vertical="center"/>
    </xf>
    <xf numFmtId="0" fontId="7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7" fillId="0" borderId="32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4"/>
  <sheetViews>
    <sheetView tabSelected="1" zoomScaleNormal="100" zoomScaleSheetLayoutView="100" workbookViewId="0">
      <selection activeCell="B6" sqref="B6"/>
    </sheetView>
  </sheetViews>
  <sheetFormatPr defaultRowHeight="16.5"/>
  <cols>
    <col min="1" max="1" width="9.625" style="4" customWidth="1"/>
    <col min="2" max="2" width="20.875" style="4" customWidth="1"/>
    <col min="3" max="3" width="4.75" style="4" customWidth="1"/>
    <col min="4" max="4" width="4.75" style="4" bestFit="1" customWidth="1"/>
    <col min="5" max="5" width="9.25" style="4" customWidth="1"/>
    <col min="6" max="6" width="2.125" style="4" customWidth="1"/>
    <col min="7" max="7" width="9.125" style="4" customWidth="1"/>
    <col min="8" max="8" width="21.25" style="4" customWidth="1"/>
    <col min="9" max="10" width="4.75" style="4" bestFit="1" customWidth="1"/>
    <col min="11" max="11" width="12.625" style="4" customWidth="1"/>
    <col min="12" max="16384" width="9" style="4"/>
  </cols>
  <sheetData>
    <row r="1" spans="1:11" s="1" customFormat="1">
      <c r="A1" s="112" t="s">
        <v>43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2" customFormat="1">
      <c r="A2" s="114" t="s">
        <v>44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>
      <c r="A3" s="117" t="s">
        <v>10</v>
      </c>
      <c r="B3" s="117"/>
      <c r="C3" s="117"/>
      <c r="D3" s="117"/>
      <c r="E3" s="117"/>
      <c r="F3" s="3"/>
      <c r="G3" s="117" t="s">
        <v>0</v>
      </c>
      <c r="H3" s="117"/>
      <c r="I3" s="117"/>
      <c r="J3" s="117"/>
      <c r="K3" s="117"/>
    </row>
    <row r="4" spans="1:11" ht="17.25" thickBot="1">
      <c r="A4" s="47" t="s">
        <v>11</v>
      </c>
      <c r="B4" s="48" t="s">
        <v>4</v>
      </c>
      <c r="C4" s="47" t="s">
        <v>5</v>
      </c>
      <c r="D4" s="47" t="s">
        <v>6</v>
      </c>
      <c r="E4" s="47" t="s">
        <v>7</v>
      </c>
      <c r="F4" s="47"/>
      <c r="G4" s="47" t="s">
        <v>3</v>
      </c>
      <c r="H4" s="48" t="s">
        <v>4</v>
      </c>
      <c r="I4" s="47" t="s">
        <v>5</v>
      </c>
      <c r="J4" s="47" t="s">
        <v>6</v>
      </c>
      <c r="K4" s="47" t="s">
        <v>7</v>
      </c>
    </row>
    <row r="5" spans="1:11">
      <c r="A5" s="49" t="s">
        <v>101</v>
      </c>
      <c r="B5" s="37" t="s">
        <v>12</v>
      </c>
      <c r="C5" s="38">
        <v>3</v>
      </c>
      <c r="D5" s="38">
        <v>3</v>
      </c>
      <c r="E5" s="37"/>
      <c r="F5" s="37"/>
      <c r="G5" s="36" t="s">
        <v>101</v>
      </c>
      <c r="H5" s="37" t="s">
        <v>105</v>
      </c>
      <c r="I5" s="38">
        <v>3</v>
      </c>
      <c r="J5" s="38">
        <v>3</v>
      </c>
      <c r="K5" s="50"/>
    </row>
    <row r="6" spans="1:11">
      <c r="A6" s="51" t="s">
        <v>101</v>
      </c>
      <c r="B6" s="11" t="s">
        <v>108</v>
      </c>
      <c r="C6" s="12">
        <v>3</v>
      </c>
      <c r="D6" s="12">
        <v>3</v>
      </c>
      <c r="E6" s="5"/>
      <c r="F6" s="8"/>
      <c r="G6" s="5" t="s">
        <v>101</v>
      </c>
      <c r="H6" s="11" t="s">
        <v>32</v>
      </c>
      <c r="I6" s="12">
        <v>3</v>
      </c>
      <c r="J6" s="12">
        <v>3</v>
      </c>
      <c r="K6" s="52"/>
    </row>
    <row r="7" spans="1:11">
      <c r="A7" s="51" t="s">
        <v>101</v>
      </c>
      <c r="B7" s="8" t="s">
        <v>13</v>
      </c>
      <c r="C7" s="3">
        <v>3</v>
      </c>
      <c r="D7" s="3">
        <v>3</v>
      </c>
      <c r="E7" s="8"/>
      <c r="F7" s="8"/>
      <c r="G7" s="5" t="s">
        <v>101</v>
      </c>
      <c r="H7" s="8" t="s">
        <v>14</v>
      </c>
      <c r="I7" s="3">
        <v>2</v>
      </c>
      <c r="J7" s="3">
        <v>2</v>
      </c>
      <c r="K7" s="52"/>
    </row>
    <row r="8" spans="1:11">
      <c r="A8" s="51" t="s">
        <v>101</v>
      </c>
      <c r="B8" s="11" t="s">
        <v>31</v>
      </c>
      <c r="C8" s="3">
        <v>3</v>
      </c>
      <c r="D8" s="3">
        <v>3</v>
      </c>
      <c r="E8" s="8"/>
      <c r="F8" s="8"/>
      <c r="G8" s="5" t="s">
        <v>101</v>
      </c>
      <c r="H8" s="8" t="s">
        <v>47</v>
      </c>
      <c r="I8" s="3">
        <v>2</v>
      </c>
      <c r="J8" s="3">
        <v>2</v>
      </c>
      <c r="K8" s="52"/>
    </row>
    <row r="9" spans="1:11">
      <c r="A9" s="51" t="s">
        <v>101</v>
      </c>
      <c r="B9" s="8" t="s">
        <v>15</v>
      </c>
      <c r="C9" s="3">
        <v>2</v>
      </c>
      <c r="D9" s="3">
        <v>2</v>
      </c>
      <c r="E9" s="8"/>
      <c r="F9" s="8"/>
      <c r="G9" s="5" t="s">
        <v>101</v>
      </c>
      <c r="H9" s="8" t="s">
        <v>33</v>
      </c>
      <c r="I9" s="3">
        <v>2</v>
      </c>
      <c r="J9" s="3">
        <v>2</v>
      </c>
      <c r="K9" s="52"/>
    </row>
    <row r="10" spans="1:11" ht="17.25" thickBot="1">
      <c r="A10" s="53"/>
      <c r="B10" s="32" t="s">
        <v>16</v>
      </c>
      <c r="C10" s="33">
        <v>14</v>
      </c>
      <c r="D10" s="33">
        <v>14</v>
      </c>
      <c r="E10" s="34"/>
      <c r="F10" s="32"/>
      <c r="G10" s="31"/>
      <c r="H10" s="32" t="s">
        <v>16</v>
      </c>
      <c r="I10" s="35">
        <v>12</v>
      </c>
      <c r="J10" s="35">
        <v>12</v>
      </c>
      <c r="K10" s="54"/>
    </row>
    <row r="11" spans="1:11">
      <c r="A11" s="36" t="s">
        <v>102</v>
      </c>
      <c r="B11" s="37" t="s">
        <v>91</v>
      </c>
      <c r="C11" s="38">
        <v>2</v>
      </c>
      <c r="D11" s="38">
        <v>2</v>
      </c>
      <c r="E11" s="39"/>
      <c r="F11" s="37"/>
      <c r="G11" s="36" t="s">
        <v>102</v>
      </c>
      <c r="H11" s="37" t="s">
        <v>88</v>
      </c>
      <c r="I11" s="38">
        <v>2</v>
      </c>
      <c r="J11" s="38">
        <v>2</v>
      </c>
      <c r="K11" s="40"/>
    </row>
    <row r="12" spans="1:11">
      <c r="A12" s="19"/>
      <c r="B12" s="8"/>
      <c r="C12" s="30"/>
      <c r="D12" s="3"/>
      <c r="E12" s="29"/>
      <c r="F12" s="8"/>
      <c r="G12" s="5" t="s">
        <v>102</v>
      </c>
      <c r="H12" s="8" t="s">
        <v>90</v>
      </c>
      <c r="I12" s="3">
        <v>2</v>
      </c>
      <c r="J12" s="3">
        <v>2</v>
      </c>
      <c r="K12" s="20"/>
    </row>
    <row r="13" spans="1:11" ht="17.25" thickBot="1">
      <c r="A13" s="41"/>
      <c r="B13" s="32" t="s">
        <v>8</v>
      </c>
      <c r="C13" s="35">
        <v>2</v>
      </c>
      <c r="D13" s="33">
        <v>2</v>
      </c>
      <c r="E13" s="42"/>
      <c r="F13" s="32"/>
      <c r="G13" s="31"/>
      <c r="H13" s="32" t="s">
        <v>8</v>
      </c>
      <c r="I13" s="35">
        <v>4</v>
      </c>
      <c r="J13" s="35">
        <v>4</v>
      </c>
      <c r="K13" s="43"/>
    </row>
    <row r="14" spans="1:11" ht="17.25" thickBot="1">
      <c r="A14" s="64"/>
      <c r="B14" s="65" t="s">
        <v>41</v>
      </c>
      <c r="C14" s="66">
        <v>16</v>
      </c>
      <c r="D14" s="67">
        <v>16</v>
      </c>
      <c r="E14" s="68"/>
      <c r="F14" s="65"/>
      <c r="G14" s="69"/>
      <c r="H14" s="65" t="s">
        <v>42</v>
      </c>
      <c r="I14" s="67">
        <v>16</v>
      </c>
      <c r="J14" s="67">
        <v>16</v>
      </c>
      <c r="K14" s="70"/>
    </row>
    <row r="15" spans="1:11" s="2" customFormat="1">
      <c r="A15" s="118" t="s">
        <v>45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20"/>
    </row>
    <row r="16" spans="1:11">
      <c r="A16" s="117" t="s">
        <v>17</v>
      </c>
      <c r="B16" s="117"/>
      <c r="C16" s="117"/>
      <c r="D16" s="117"/>
      <c r="E16" s="117"/>
      <c r="F16" s="3"/>
      <c r="G16" s="117" t="s">
        <v>18</v>
      </c>
      <c r="H16" s="117"/>
      <c r="I16" s="117"/>
      <c r="J16" s="117"/>
      <c r="K16" s="117"/>
    </row>
    <row r="17" spans="1:11" ht="17.25" thickBot="1">
      <c r="A17" s="47" t="s">
        <v>11</v>
      </c>
      <c r="B17" s="48" t="s">
        <v>19</v>
      </c>
      <c r="C17" s="47" t="s">
        <v>20</v>
      </c>
      <c r="D17" s="47" t="s">
        <v>21</v>
      </c>
      <c r="E17" s="47" t="s">
        <v>7</v>
      </c>
      <c r="F17" s="47"/>
      <c r="G17" s="47" t="s">
        <v>3</v>
      </c>
      <c r="H17" s="48" t="s">
        <v>19</v>
      </c>
      <c r="I17" s="47" t="s">
        <v>20</v>
      </c>
      <c r="J17" s="47" t="s">
        <v>21</v>
      </c>
      <c r="K17" s="47" t="s">
        <v>7</v>
      </c>
    </row>
    <row r="18" spans="1:11">
      <c r="A18" s="49" t="s">
        <v>101</v>
      </c>
      <c r="B18" s="55" t="s">
        <v>48</v>
      </c>
      <c r="C18" s="56">
        <v>2</v>
      </c>
      <c r="D18" s="56">
        <v>2</v>
      </c>
      <c r="E18" s="56"/>
      <c r="F18" s="36"/>
      <c r="G18" s="36" t="s">
        <v>101</v>
      </c>
      <c r="H18" s="37" t="s">
        <v>38</v>
      </c>
      <c r="I18" s="38">
        <v>2</v>
      </c>
      <c r="J18" s="38">
        <v>2</v>
      </c>
      <c r="K18" s="57"/>
    </row>
    <row r="19" spans="1:11">
      <c r="A19" s="51" t="s">
        <v>101</v>
      </c>
      <c r="B19" s="11" t="s">
        <v>34</v>
      </c>
      <c r="C19" s="12">
        <v>2</v>
      </c>
      <c r="D19" s="12">
        <v>2</v>
      </c>
      <c r="E19" s="10"/>
      <c r="F19" s="7"/>
      <c r="G19" s="5" t="s">
        <v>101</v>
      </c>
      <c r="H19" s="11" t="s">
        <v>37</v>
      </c>
      <c r="I19" s="3">
        <v>2</v>
      </c>
      <c r="J19" s="3">
        <v>2</v>
      </c>
      <c r="K19" s="58"/>
    </row>
    <row r="20" spans="1:11">
      <c r="A20" s="51" t="s">
        <v>101</v>
      </c>
      <c r="B20" s="8" t="s">
        <v>35</v>
      </c>
      <c r="C20" s="3">
        <v>2</v>
      </c>
      <c r="D20" s="3">
        <v>2</v>
      </c>
      <c r="E20" s="11"/>
      <c r="F20" s="6"/>
      <c r="G20" s="5"/>
      <c r="H20" s="8"/>
      <c r="I20" s="3"/>
      <c r="J20" s="3"/>
      <c r="K20" s="52"/>
    </row>
    <row r="21" spans="1:11" ht="17.25" thickBot="1">
      <c r="A21" s="59"/>
      <c r="B21" s="32" t="s">
        <v>8</v>
      </c>
      <c r="C21" s="35">
        <v>6</v>
      </c>
      <c r="D21" s="35">
        <v>6</v>
      </c>
      <c r="E21" s="34"/>
      <c r="F21" s="45"/>
      <c r="G21" s="31"/>
      <c r="H21" s="32" t="s">
        <v>8</v>
      </c>
      <c r="I21" s="46">
        <v>4</v>
      </c>
      <c r="J21" s="46">
        <v>4</v>
      </c>
      <c r="K21" s="54"/>
    </row>
    <row r="22" spans="1:11">
      <c r="A22" s="60" t="s">
        <v>22</v>
      </c>
      <c r="B22" s="37" t="s">
        <v>106</v>
      </c>
      <c r="C22" s="38">
        <v>2</v>
      </c>
      <c r="D22" s="38">
        <v>2</v>
      </c>
      <c r="E22" s="37"/>
      <c r="F22" s="37"/>
      <c r="G22" s="36" t="s">
        <v>22</v>
      </c>
      <c r="H22" s="37" t="s">
        <v>39</v>
      </c>
      <c r="I22" s="38">
        <v>2</v>
      </c>
      <c r="J22" s="38">
        <v>2</v>
      </c>
      <c r="K22" s="50"/>
    </row>
    <row r="23" spans="1:11">
      <c r="A23" s="61" t="s">
        <v>22</v>
      </c>
      <c r="B23" s="11" t="s">
        <v>36</v>
      </c>
      <c r="C23" s="3">
        <v>2</v>
      </c>
      <c r="D23" s="3">
        <v>2</v>
      </c>
      <c r="E23" s="8"/>
      <c r="F23" s="8"/>
      <c r="G23" s="5"/>
      <c r="H23" s="8"/>
      <c r="I23" s="3"/>
      <c r="J23" s="3"/>
      <c r="K23" s="52"/>
    </row>
    <row r="24" spans="1:11" ht="17.25" thickBot="1">
      <c r="A24" s="59"/>
      <c r="B24" s="32" t="s">
        <v>8</v>
      </c>
      <c r="C24" s="35">
        <v>4</v>
      </c>
      <c r="D24" s="35">
        <v>4</v>
      </c>
      <c r="E24" s="32"/>
      <c r="F24" s="32"/>
      <c r="G24" s="31"/>
      <c r="H24" s="32" t="s">
        <v>8</v>
      </c>
      <c r="I24" s="46">
        <v>2</v>
      </c>
      <c r="J24" s="46">
        <v>2</v>
      </c>
      <c r="K24" s="54"/>
    </row>
    <row r="25" spans="1:11">
      <c r="A25" s="49" t="s">
        <v>102</v>
      </c>
      <c r="B25" s="37" t="s">
        <v>89</v>
      </c>
      <c r="C25" s="38">
        <v>2</v>
      </c>
      <c r="D25" s="38">
        <v>2</v>
      </c>
      <c r="E25" s="37"/>
      <c r="F25" s="62"/>
      <c r="G25" s="36" t="s">
        <v>103</v>
      </c>
      <c r="H25" s="37" t="s">
        <v>92</v>
      </c>
      <c r="I25" s="38">
        <v>2</v>
      </c>
      <c r="J25" s="38">
        <v>2</v>
      </c>
      <c r="K25" s="50"/>
    </row>
    <row r="26" spans="1:11">
      <c r="A26" s="51" t="s">
        <v>102</v>
      </c>
      <c r="B26" s="8" t="s">
        <v>93</v>
      </c>
      <c r="C26" s="3">
        <v>2</v>
      </c>
      <c r="D26" s="3">
        <v>2</v>
      </c>
      <c r="E26" s="8"/>
      <c r="F26" s="13"/>
      <c r="G26" s="5"/>
      <c r="H26" s="8"/>
      <c r="I26" s="3"/>
      <c r="J26" s="3"/>
      <c r="K26" s="52"/>
    </row>
    <row r="27" spans="1:11" ht="17.25" thickBot="1">
      <c r="A27" s="59"/>
      <c r="B27" s="32" t="s">
        <v>8</v>
      </c>
      <c r="C27" s="35">
        <v>4</v>
      </c>
      <c r="D27" s="35">
        <v>4</v>
      </c>
      <c r="E27" s="32"/>
      <c r="F27" s="63"/>
      <c r="G27" s="31"/>
      <c r="H27" s="32" t="s">
        <v>8</v>
      </c>
      <c r="I27" s="46">
        <v>2</v>
      </c>
      <c r="J27" s="46">
        <v>2</v>
      </c>
      <c r="K27" s="54"/>
    </row>
    <row r="28" spans="1:11" ht="17.25" thickBot="1">
      <c r="A28" s="71"/>
      <c r="B28" s="65" t="s">
        <v>40</v>
      </c>
      <c r="C28" s="67">
        <v>14</v>
      </c>
      <c r="D28" s="67">
        <v>14</v>
      </c>
      <c r="E28" s="65"/>
      <c r="F28" s="72"/>
      <c r="G28" s="69"/>
      <c r="H28" s="65" t="s">
        <v>40</v>
      </c>
      <c r="I28" s="67">
        <v>8</v>
      </c>
      <c r="J28" s="67">
        <v>8</v>
      </c>
      <c r="K28" s="73"/>
    </row>
    <row r="29" spans="1:11" ht="17.25" thickBot="1">
      <c r="A29" s="124" t="s">
        <v>2</v>
      </c>
      <c r="B29" s="125"/>
      <c r="C29" s="125"/>
      <c r="D29" s="125"/>
      <c r="E29" s="126"/>
      <c r="F29" s="74"/>
      <c r="G29" s="124" t="s">
        <v>2</v>
      </c>
      <c r="H29" s="125"/>
      <c r="I29" s="125"/>
      <c r="J29" s="125"/>
      <c r="K29" s="126"/>
    </row>
    <row r="30" spans="1:11">
      <c r="A30" s="75" t="s">
        <v>60</v>
      </c>
      <c r="B30" s="76" t="s">
        <v>61</v>
      </c>
      <c r="C30" s="36">
        <v>2</v>
      </c>
      <c r="D30" s="36">
        <v>2</v>
      </c>
      <c r="E30" s="37"/>
      <c r="F30" s="37"/>
      <c r="G30" s="77" t="s">
        <v>60</v>
      </c>
      <c r="H30" s="37" t="s">
        <v>57</v>
      </c>
      <c r="I30" s="38">
        <v>2</v>
      </c>
      <c r="J30" s="38">
        <v>2</v>
      </c>
      <c r="K30" s="78"/>
    </row>
    <row r="31" spans="1:11">
      <c r="A31" s="79" t="s">
        <v>60</v>
      </c>
      <c r="B31" s="22" t="s">
        <v>76</v>
      </c>
      <c r="C31" s="5">
        <v>2</v>
      </c>
      <c r="D31" s="5">
        <v>2</v>
      </c>
      <c r="E31" s="8"/>
      <c r="F31" s="8"/>
      <c r="G31" s="21" t="s">
        <v>60</v>
      </c>
      <c r="H31" s="8" t="s">
        <v>58</v>
      </c>
      <c r="I31" s="3">
        <v>2</v>
      </c>
      <c r="J31" s="3">
        <v>2</v>
      </c>
      <c r="K31" s="80"/>
    </row>
    <row r="32" spans="1:11" ht="17.25" thickBot="1">
      <c r="A32" s="59"/>
      <c r="B32" s="32" t="s">
        <v>8</v>
      </c>
      <c r="C32" s="46">
        <v>4</v>
      </c>
      <c r="D32" s="46">
        <v>4</v>
      </c>
      <c r="E32" s="32"/>
      <c r="F32" s="32"/>
      <c r="G32" s="44"/>
      <c r="H32" s="32" t="s">
        <v>8</v>
      </c>
      <c r="I32" s="46">
        <v>4</v>
      </c>
      <c r="J32" s="46">
        <v>4</v>
      </c>
      <c r="K32" s="81"/>
    </row>
    <row r="33" spans="1:11">
      <c r="A33" s="75" t="s">
        <v>53</v>
      </c>
      <c r="B33" s="76" t="s">
        <v>54</v>
      </c>
      <c r="C33" s="36">
        <v>2</v>
      </c>
      <c r="D33" s="36">
        <v>2</v>
      </c>
      <c r="E33" s="37"/>
      <c r="F33" s="37"/>
      <c r="G33" s="77" t="s">
        <v>53</v>
      </c>
      <c r="H33" s="76" t="s">
        <v>56</v>
      </c>
      <c r="I33" s="36">
        <v>2</v>
      </c>
      <c r="J33" s="36">
        <v>2</v>
      </c>
      <c r="K33" s="78"/>
    </row>
    <row r="34" spans="1:11">
      <c r="A34" s="79" t="s">
        <v>53</v>
      </c>
      <c r="B34" s="22" t="s">
        <v>55</v>
      </c>
      <c r="C34" s="7">
        <v>2</v>
      </c>
      <c r="D34" s="7">
        <v>2</v>
      </c>
      <c r="E34" s="8"/>
      <c r="F34" s="8"/>
      <c r="G34" s="21" t="s">
        <v>53</v>
      </c>
      <c r="H34" s="6" t="s">
        <v>64</v>
      </c>
      <c r="I34" s="24">
        <v>2</v>
      </c>
      <c r="J34" s="24">
        <v>2</v>
      </c>
      <c r="K34" s="80"/>
    </row>
    <row r="35" spans="1:11">
      <c r="A35" s="79" t="s">
        <v>53</v>
      </c>
      <c r="B35" s="23" t="s">
        <v>62</v>
      </c>
      <c r="C35" s="24">
        <v>2</v>
      </c>
      <c r="D35" s="24">
        <v>2</v>
      </c>
      <c r="E35" s="8"/>
      <c r="F35" s="8"/>
      <c r="G35" s="21" t="s">
        <v>53</v>
      </c>
      <c r="H35" s="8" t="s">
        <v>65</v>
      </c>
      <c r="I35" s="24">
        <v>2</v>
      </c>
      <c r="J35" s="24">
        <v>2</v>
      </c>
      <c r="K35" s="80"/>
    </row>
    <row r="36" spans="1:11">
      <c r="A36" s="79" t="s">
        <v>53</v>
      </c>
      <c r="B36" s="8" t="s">
        <v>66</v>
      </c>
      <c r="C36" s="27">
        <v>2</v>
      </c>
      <c r="D36" s="26">
        <v>2</v>
      </c>
      <c r="E36" s="8"/>
      <c r="F36" s="8"/>
      <c r="G36" s="21" t="s">
        <v>53</v>
      </c>
      <c r="H36" s="8" t="s">
        <v>69</v>
      </c>
      <c r="I36" s="24">
        <v>2</v>
      </c>
      <c r="J36" s="24">
        <v>2</v>
      </c>
      <c r="K36" s="80"/>
    </row>
    <row r="37" spans="1:11">
      <c r="A37" s="79" t="s">
        <v>53</v>
      </c>
      <c r="B37" s="23" t="s">
        <v>67</v>
      </c>
      <c r="C37" s="24">
        <v>2</v>
      </c>
      <c r="D37" s="24">
        <v>2</v>
      </c>
      <c r="E37" s="8"/>
      <c r="F37" s="8"/>
      <c r="G37" s="21" t="s">
        <v>53</v>
      </c>
      <c r="H37" s="23" t="s">
        <v>70</v>
      </c>
      <c r="I37" s="24">
        <v>2</v>
      </c>
      <c r="J37" s="24">
        <v>2</v>
      </c>
      <c r="K37" s="80"/>
    </row>
    <row r="38" spans="1:11">
      <c r="A38" s="79" t="s">
        <v>53</v>
      </c>
      <c r="B38" s="17" t="s">
        <v>68</v>
      </c>
      <c r="C38" s="24">
        <v>2</v>
      </c>
      <c r="D38" s="24">
        <v>2</v>
      </c>
      <c r="E38" s="8"/>
      <c r="F38" s="8"/>
      <c r="G38" s="21"/>
      <c r="H38" s="22"/>
      <c r="I38" s="7"/>
      <c r="J38" s="7"/>
      <c r="K38" s="80"/>
    </row>
    <row r="39" spans="1:11" ht="17.25" thickBot="1">
      <c r="A39" s="82"/>
      <c r="B39" s="83" t="s">
        <v>8</v>
      </c>
      <c r="C39" s="84">
        <v>12</v>
      </c>
      <c r="D39" s="84">
        <v>12</v>
      </c>
      <c r="E39" s="32"/>
      <c r="F39" s="32"/>
      <c r="G39" s="85"/>
      <c r="H39" s="83" t="s">
        <v>8</v>
      </c>
      <c r="I39" s="84">
        <v>10</v>
      </c>
      <c r="J39" s="84">
        <v>10</v>
      </c>
      <c r="K39" s="81"/>
    </row>
    <row r="40" spans="1:11">
      <c r="A40" s="75" t="s">
        <v>49</v>
      </c>
      <c r="B40" s="76" t="s">
        <v>50</v>
      </c>
      <c r="C40" s="36">
        <v>3</v>
      </c>
      <c r="D40" s="36">
        <v>3</v>
      </c>
      <c r="E40" s="37"/>
      <c r="F40" s="37"/>
      <c r="G40" s="77" t="s">
        <v>49</v>
      </c>
      <c r="H40" s="87" t="s">
        <v>52</v>
      </c>
      <c r="I40" s="36">
        <v>3</v>
      </c>
      <c r="J40" s="36">
        <v>3</v>
      </c>
      <c r="K40" s="78"/>
    </row>
    <row r="41" spans="1:11">
      <c r="A41" s="79" t="s">
        <v>49</v>
      </c>
      <c r="B41" s="23" t="s">
        <v>51</v>
      </c>
      <c r="C41" s="7">
        <v>3</v>
      </c>
      <c r="D41" s="7">
        <v>3</v>
      </c>
      <c r="E41" s="8"/>
      <c r="F41" s="8"/>
      <c r="G41" s="21" t="s">
        <v>49</v>
      </c>
      <c r="H41" s="23" t="s">
        <v>51</v>
      </c>
      <c r="I41" s="7">
        <v>3</v>
      </c>
      <c r="J41" s="7">
        <v>3</v>
      </c>
      <c r="K41" s="80"/>
    </row>
    <row r="42" spans="1:11" ht="17.25" thickBot="1">
      <c r="A42" s="82"/>
      <c r="B42" s="88" t="s">
        <v>59</v>
      </c>
      <c r="C42" s="84">
        <v>6</v>
      </c>
      <c r="D42" s="84">
        <v>6</v>
      </c>
      <c r="E42" s="32"/>
      <c r="F42" s="32"/>
      <c r="G42" s="85"/>
      <c r="H42" s="88" t="s">
        <v>59</v>
      </c>
      <c r="I42" s="84">
        <v>6</v>
      </c>
      <c r="J42" s="84">
        <v>6</v>
      </c>
      <c r="K42" s="81"/>
    </row>
    <row r="43" spans="1:11" ht="17.25" thickBot="1">
      <c r="A43" s="14"/>
      <c r="B43" s="6" t="s">
        <v>40</v>
      </c>
      <c r="C43" s="86">
        <v>22</v>
      </c>
      <c r="D43" s="86">
        <v>22</v>
      </c>
      <c r="E43" s="15"/>
      <c r="F43" s="15"/>
      <c r="G43" s="14"/>
      <c r="H43" s="6" t="s">
        <v>40</v>
      </c>
      <c r="I43" s="86">
        <v>20</v>
      </c>
      <c r="J43" s="86">
        <v>20</v>
      </c>
      <c r="K43" s="15"/>
    </row>
    <row r="44" spans="1:11">
      <c r="A44" s="127" t="s">
        <v>24</v>
      </c>
      <c r="B44" s="128"/>
      <c r="C44" s="128"/>
      <c r="D44" s="128"/>
      <c r="E44" s="129"/>
      <c r="F44" s="18"/>
      <c r="G44" s="127" t="s">
        <v>9</v>
      </c>
      <c r="H44" s="128"/>
      <c r="I44" s="128"/>
      <c r="J44" s="128"/>
      <c r="K44" s="129"/>
    </row>
    <row r="45" spans="1:11">
      <c r="A45" s="7" t="s">
        <v>71</v>
      </c>
      <c r="B45" s="8" t="s">
        <v>72</v>
      </c>
      <c r="C45" s="3">
        <v>2</v>
      </c>
      <c r="D45" s="3">
        <v>2</v>
      </c>
      <c r="E45" s="11"/>
      <c r="F45" s="15"/>
      <c r="G45" s="7" t="s">
        <v>71</v>
      </c>
      <c r="H45" s="8" t="s">
        <v>74</v>
      </c>
      <c r="I45" s="3">
        <v>2</v>
      </c>
      <c r="J45" s="3">
        <v>2</v>
      </c>
      <c r="K45" s="11"/>
    </row>
    <row r="46" spans="1:11">
      <c r="A46" s="7" t="s">
        <v>71</v>
      </c>
      <c r="B46" s="8" t="s">
        <v>73</v>
      </c>
      <c r="C46" s="3">
        <v>2</v>
      </c>
      <c r="D46" s="3">
        <v>2</v>
      </c>
      <c r="E46" s="11"/>
      <c r="F46" s="15"/>
      <c r="G46" s="7" t="s">
        <v>71</v>
      </c>
      <c r="H46" s="8" t="s">
        <v>75</v>
      </c>
      <c r="I46" s="3">
        <v>2</v>
      </c>
      <c r="J46" s="3">
        <v>2</v>
      </c>
      <c r="K46" s="11"/>
    </row>
    <row r="47" spans="1:11" s="2" customFormat="1">
      <c r="A47" s="130" t="s">
        <v>46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2"/>
    </row>
    <row r="48" spans="1:11">
      <c r="A48" s="106" t="s">
        <v>25</v>
      </c>
      <c r="B48" s="107"/>
      <c r="C48" s="107"/>
      <c r="D48" s="107"/>
      <c r="E48" s="108"/>
      <c r="F48" s="12"/>
      <c r="G48" s="106" t="s">
        <v>26</v>
      </c>
      <c r="H48" s="107"/>
      <c r="I48" s="107"/>
      <c r="J48" s="107"/>
      <c r="K48" s="108"/>
    </row>
    <row r="49" spans="1:11">
      <c r="A49" s="10" t="s">
        <v>27</v>
      </c>
      <c r="B49" s="12" t="s">
        <v>4</v>
      </c>
      <c r="C49" s="10" t="s">
        <v>5</v>
      </c>
      <c r="D49" s="10" t="s">
        <v>6</v>
      </c>
      <c r="E49" s="10" t="s">
        <v>28</v>
      </c>
      <c r="F49" s="10"/>
      <c r="G49" s="10" t="s">
        <v>3</v>
      </c>
      <c r="H49" s="12" t="s">
        <v>4</v>
      </c>
      <c r="I49" s="10" t="s">
        <v>5</v>
      </c>
      <c r="J49" s="10" t="s">
        <v>6</v>
      </c>
      <c r="K49" s="10" t="s">
        <v>7</v>
      </c>
    </row>
    <row r="50" spans="1:11">
      <c r="A50" s="106" t="s">
        <v>2</v>
      </c>
      <c r="B50" s="107"/>
      <c r="C50" s="107"/>
      <c r="D50" s="107"/>
      <c r="E50" s="108"/>
      <c r="F50" s="16"/>
      <c r="G50" s="106" t="s">
        <v>2</v>
      </c>
      <c r="H50" s="107"/>
      <c r="I50" s="107"/>
      <c r="J50" s="107"/>
      <c r="K50" s="108"/>
    </row>
    <row r="51" spans="1:11" ht="17.25" thickBot="1">
      <c r="A51" s="89" t="s">
        <v>3</v>
      </c>
      <c r="B51" s="89" t="s">
        <v>4</v>
      </c>
      <c r="C51" s="89" t="s">
        <v>5</v>
      </c>
      <c r="D51" s="89" t="s">
        <v>6</v>
      </c>
      <c r="E51" s="89" t="s">
        <v>7</v>
      </c>
      <c r="F51" s="89"/>
      <c r="G51" s="89" t="s">
        <v>3</v>
      </c>
      <c r="H51" s="89" t="s">
        <v>4</v>
      </c>
      <c r="I51" s="89" t="s">
        <v>5</v>
      </c>
      <c r="J51" s="89" t="s">
        <v>6</v>
      </c>
      <c r="K51" s="89" t="s">
        <v>7</v>
      </c>
    </row>
    <row r="52" spans="1:11">
      <c r="A52" s="75" t="s">
        <v>60</v>
      </c>
      <c r="B52" s="37" t="s">
        <v>77</v>
      </c>
      <c r="C52" s="38">
        <v>2</v>
      </c>
      <c r="D52" s="38">
        <v>2</v>
      </c>
      <c r="E52" s="90"/>
      <c r="F52" s="90"/>
      <c r="G52" s="77"/>
      <c r="H52" s="37"/>
      <c r="I52" s="38"/>
      <c r="J52" s="38"/>
      <c r="K52" s="91"/>
    </row>
    <row r="53" spans="1:11" ht="17.25" thickBot="1">
      <c r="A53" s="92"/>
      <c r="B53" s="32" t="s">
        <v>59</v>
      </c>
      <c r="C53" s="46">
        <v>2</v>
      </c>
      <c r="D53" s="46">
        <v>2</v>
      </c>
      <c r="E53" s="93"/>
      <c r="F53" s="93"/>
      <c r="G53" s="94"/>
      <c r="H53" s="93"/>
      <c r="I53" s="94"/>
      <c r="J53" s="94"/>
      <c r="K53" s="95"/>
    </row>
    <row r="54" spans="1:11">
      <c r="A54" s="75" t="s">
        <v>53</v>
      </c>
      <c r="B54" s="87" t="s">
        <v>80</v>
      </c>
      <c r="C54" s="36">
        <v>2</v>
      </c>
      <c r="D54" s="36">
        <v>2</v>
      </c>
      <c r="E54" s="55"/>
      <c r="F54" s="55"/>
      <c r="G54" s="77" t="s">
        <v>53</v>
      </c>
      <c r="H54" s="76" t="s">
        <v>81</v>
      </c>
      <c r="I54" s="36">
        <v>2</v>
      </c>
      <c r="J54" s="36">
        <v>2</v>
      </c>
      <c r="K54" s="78"/>
    </row>
    <row r="55" spans="1:11">
      <c r="A55" s="79" t="s">
        <v>53</v>
      </c>
      <c r="B55" s="23" t="s">
        <v>63</v>
      </c>
      <c r="C55" s="25">
        <v>2</v>
      </c>
      <c r="D55" s="26">
        <v>2</v>
      </c>
      <c r="E55" s="11"/>
      <c r="F55" s="11"/>
      <c r="G55" s="21" t="s">
        <v>53</v>
      </c>
      <c r="H55" s="8" t="s">
        <v>82</v>
      </c>
      <c r="I55" s="3">
        <v>2</v>
      </c>
      <c r="J55" s="3">
        <v>2</v>
      </c>
      <c r="K55" s="80"/>
    </row>
    <row r="56" spans="1:11">
      <c r="A56" s="79" t="s">
        <v>53</v>
      </c>
      <c r="B56" s="28" t="s">
        <v>79</v>
      </c>
      <c r="C56" s="3">
        <v>2</v>
      </c>
      <c r="D56" s="3">
        <v>2</v>
      </c>
      <c r="E56" s="11"/>
      <c r="F56" s="11"/>
      <c r="G56" s="21" t="s">
        <v>53</v>
      </c>
      <c r="H56" s="8" t="s">
        <v>83</v>
      </c>
      <c r="I56" s="3">
        <v>2</v>
      </c>
      <c r="J56" s="3">
        <v>2</v>
      </c>
      <c r="K56" s="80"/>
    </row>
    <row r="57" spans="1:11">
      <c r="A57" s="79"/>
      <c r="B57" s="23"/>
      <c r="C57" s="3"/>
      <c r="D57" s="3"/>
      <c r="E57" s="11"/>
      <c r="F57" s="11"/>
      <c r="G57" s="21" t="s">
        <v>53</v>
      </c>
      <c r="H57" s="8" t="s">
        <v>23</v>
      </c>
      <c r="I57" s="3">
        <v>2</v>
      </c>
      <c r="J57" s="3">
        <v>2</v>
      </c>
      <c r="K57" s="80"/>
    </row>
    <row r="58" spans="1:11">
      <c r="A58" s="101"/>
      <c r="B58" s="102"/>
      <c r="C58" s="48"/>
      <c r="D58" s="48"/>
      <c r="E58" s="103"/>
      <c r="F58" s="103"/>
      <c r="G58" s="79" t="s">
        <v>53</v>
      </c>
      <c r="H58" s="23" t="s">
        <v>78</v>
      </c>
      <c r="I58" s="3">
        <v>2</v>
      </c>
      <c r="J58" s="3">
        <v>2</v>
      </c>
      <c r="K58" s="104"/>
    </row>
    <row r="59" spans="1:11" ht="17.25" thickBot="1">
      <c r="A59" s="92"/>
      <c r="B59" s="83" t="s">
        <v>8</v>
      </c>
      <c r="C59" s="94">
        <v>6</v>
      </c>
      <c r="D59" s="94">
        <v>6</v>
      </c>
      <c r="E59" s="34"/>
      <c r="F59" s="34"/>
      <c r="G59" s="94"/>
      <c r="H59" s="83" t="s">
        <v>8</v>
      </c>
      <c r="I59" s="94">
        <v>10</v>
      </c>
      <c r="J59" s="94">
        <v>10</v>
      </c>
      <c r="K59" s="81"/>
    </row>
    <row r="60" spans="1:11">
      <c r="A60" s="75" t="s">
        <v>49</v>
      </c>
      <c r="B60" s="37" t="s">
        <v>85</v>
      </c>
      <c r="C60" s="38">
        <v>6</v>
      </c>
      <c r="D60" s="38">
        <v>6</v>
      </c>
      <c r="E60" s="90"/>
      <c r="F60" s="90"/>
      <c r="G60" s="77" t="s">
        <v>49</v>
      </c>
      <c r="H60" s="37" t="s">
        <v>84</v>
      </c>
      <c r="I60" s="38">
        <v>9</v>
      </c>
      <c r="J60" s="38">
        <v>9</v>
      </c>
      <c r="K60" s="91"/>
    </row>
    <row r="61" spans="1:11" ht="17.25" thickBot="1">
      <c r="A61" s="92"/>
      <c r="B61" s="32" t="s">
        <v>59</v>
      </c>
      <c r="C61" s="46">
        <v>6</v>
      </c>
      <c r="D61" s="46">
        <v>6</v>
      </c>
      <c r="E61" s="93"/>
      <c r="F61" s="93"/>
      <c r="G61" s="85"/>
      <c r="H61" s="32" t="s">
        <v>59</v>
      </c>
      <c r="I61" s="46">
        <v>9</v>
      </c>
      <c r="J61" s="46">
        <v>9</v>
      </c>
      <c r="K61" s="95"/>
    </row>
    <row r="62" spans="1:11" ht="17.25" thickBot="1">
      <c r="A62" s="96"/>
      <c r="B62" s="65" t="s">
        <v>40</v>
      </c>
      <c r="C62" s="97">
        <v>14</v>
      </c>
      <c r="D62" s="97">
        <v>14</v>
      </c>
      <c r="E62" s="98"/>
      <c r="F62" s="98"/>
      <c r="G62" s="99"/>
      <c r="H62" s="65" t="s">
        <v>40</v>
      </c>
      <c r="I62" s="99">
        <v>19</v>
      </c>
      <c r="J62" s="99">
        <v>19</v>
      </c>
      <c r="K62" s="100"/>
    </row>
    <row r="63" spans="1:11">
      <c r="A63" s="121" t="s">
        <v>29</v>
      </c>
      <c r="B63" s="122"/>
      <c r="C63" s="122"/>
      <c r="D63" s="122"/>
      <c r="E63" s="123"/>
      <c r="F63" s="16"/>
      <c r="G63" s="121" t="s">
        <v>29</v>
      </c>
      <c r="H63" s="122"/>
      <c r="I63" s="122"/>
      <c r="J63" s="122"/>
      <c r="K63" s="123"/>
    </row>
    <row r="64" spans="1:11">
      <c r="A64" s="10" t="s">
        <v>1</v>
      </c>
      <c r="B64" s="8" t="s">
        <v>86</v>
      </c>
      <c r="C64" s="3">
        <v>2</v>
      </c>
      <c r="D64" s="3">
        <v>2</v>
      </c>
      <c r="E64" s="3"/>
      <c r="F64" s="3"/>
      <c r="G64" s="5" t="s">
        <v>71</v>
      </c>
      <c r="H64" s="8" t="s">
        <v>87</v>
      </c>
      <c r="I64" s="3">
        <v>2</v>
      </c>
      <c r="J64" s="3">
        <v>2</v>
      </c>
      <c r="K64" s="12"/>
    </row>
    <row r="65" spans="1:11">
      <c r="A65" s="105" t="s">
        <v>104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</row>
    <row r="66" spans="1:11">
      <c r="A66" s="109" t="s">
        <v>30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</row>
    <row r="67" spans="1:11" s="9" customFormat="1" ht="57" customHeight="1">
      <c r="A67" s="110" t="s">
        <v>107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</row>
    <row r="68" spans="1:11">
      <c r="A68" s="109" t="s">
        <v>94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>
      <c r="A69" s="109" t="s">
        <v>95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29.25" customHeight="1">
      <c r="A70" s="111" t="s">
        <v>96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59.25" customHeight="1">
      <c r="A71" s="111" t="s">
        <v>97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>
      <c r="A72" s="109" t="s">
        <v>98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>
      <c r="A73" s="109" t="s">
        <v>99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>
      <c r="A74" s="109" t="s">
        <v>100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</sheetData>
  <mergeCells count="28">
    <mergeCell ref="A16:E16"/>
    <mergeCell ref="G16:K16"/>
    <mergeCell ref="G50:K50"/>
    <mergeCell ref="A63:E63"/>
    <mergeCell ref="G63:K63"/>
    <mergeCell ref="A29:E29"/>
    <mergeCell ref="G29:K29"/>
    <mergeCell ref="A44:E44"/>
    <mergeCell ref="G44:K44"/>
    <mergeCell ref="A48:E48"/>
    <mergeCell ref="G48:K48"/>
    <mergeCell ref="A47:K47"/>
    <mergeCell ref="A1:K1"/>
    <mergeCell ref="A2:K2"/>
    <mergeCell ref="A3:E3"/>
    <mergeCell ref="G3:K3"/>
    <mergeCell ref="A15:K15"/>
    <mergeCell ref="A65:K65"/>
    <mergeCell ref="A50:E50"/>
    <mergeCell ref="A74:K74"/>
    <mergeCell ref="A66:K66"/>
    <mergeCell ref="A67:K67"/>
    <mergeCell ref="A69:K69"/>
    <mergeCell ref="A70:K70"/>
    <mergeCell ref="A68:K68"/>
    <mergeCell ref="A71:K71"/>
    <mergeCell ref="A73:K73"/>
    <mergeCell ref="A72:K72"/>
  </mergeCells>
  <phoneticPr fontId="2" type="noConversion"/>
  <pageMargins left="0.35433070866141736" right="0.15748031496062992" top="0.47244094488188981" bottom="0.47244094488188981" header="0.31496062992125984" footer="0.19685039370078741"/>
  <pageSetup paperSize="9" scale="95" orientation="portrait" horizontalDpi="300" r:id="rId1"/>
  <headerFooter alignWithMargins="0">
    <oddFooter>&amp;C&amp;10&amp;P/&amp;N&amp;R&amp;10&amp;A</oddFooter>
  </headerFooter>
  <rowBreaks count="1" manualBreakCount="1">
    <brk id="46" max="16383" man="1"/>
  </rowBreaks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V9"/>
  <sheetViews>
    <sheetView workbookViewId="0"/>
  </sheetViews>
  <sheetFormatPr defaultRowHeight="16.5"/>
  <sheetData>
    <row r="1" spans="1:256">
      <c r="A1" t="e">
        <f>IF('財法所101-英文法務組'!1:1,"AAAAAGjt/wA=",0)</f>
        <v>#VALUE!</v>
      </c>
      <c r="B1" t="e">
        <f>AND('財法所101-英文法務組'!A1,"AAAAAGjt/wE=")</f>
        <v>#VALUE!</v>
      </c>
      <c r="C1" t="e">
        <f>AND('財法所101-英文法務組'!B1,"AAAAAGjt/wI=")</f>
        <v>#VALUE!</v>
      </c>
      <c r="D1" t="e">
        <f>AND('財法所101-英文法務組'!C1,"AAAAAGjt/wM=")</f>
        <v>#VALUE!</v>
      </c>
      <c r="E1" t="e">
        <f>AND('財法所101-英文法務組'!D1,"AAAAAGjt/wQ=")</f>
        <v>#VALUE!</v>
      </c>
      <c r="F1" t="e">
        <f>AND('財法所101-英文法務組'!E1,"AAAAAGjt/wU=")</f>
        <v>#VALUE!</v>
      </c>
      <c r="G1" t="e">
        <f>AND('財法所101-英文法務組'!F1,"AAAAAGjt/wY=")</f>
        <v>#VALUE!</v>
      </c>
      <c r="H1" t="e">
        <f>AND('財法所101-英文法務組'!G1,"AAAAAGjt/wc=")</f>
        <v>#VALUE!</v>
      </c>
      <c r="I1" t="e">
        <f>AND('財法所101-英文法務組'!H1,"AAAAAGjt/wg=")</f>
        <v>#VALUE!</v>
      </c>
      <c r="J1" t="e">
        <f>AND('財法所101-英文法務組'!I1,"AAAAAGjt/wk=")</f>
        <v>#VALUE!</v>
      </c>
      <c r="K1" t="e">
        <f>AND('財法所101-英文法務組'!J1,"AAAAAGjt/wo=")</f>
        <v>#VALUE!</v>
      </c>
      <c r="L1" t="e">
        <f>AND('財法所101-英文法務組'!K1,"AAAAAGjt/ws=")</f>
        <v>#VALUE!</v>
      </c>
      <c r="M1">
        <f>IF('財法所101-英文法務組'!2:2,"AAAAAGjt/ww=",0)</f>
        <v>0</v>
      </c>
      <c r="N1" t="e">
        <f>AND('財法所101-英文法務組'!A2,"AAAAAGjt/w0=")</f>
        <v>#VALUE!</v>
      </c>
      <c r="O1" t="e">
        <f>AND('財法所101-英文法務組'!B2,"AAAAAGjt/w4=")</f>
        <v>#VALUE!</v>
      </c>
      <c r="P1" t="e">
        <f>AND('財法所101-英文法務組'!C2,"AAAAAGjt/w8=")</f>
        <v>#VALUE!</v>
      </c>
      <c r="Q1" t="e">
        <f>AND('財法所101-英文法務組'!D2,"AAAAAGjt/xA=")</f>
        <v>#VALUE!</v>
      </c>
      <c r="R1" t="e">
        <f>AND('財法所101-英文法務組'!E2,"AAAAAGjt/xE=")</f>
        <v>#VALUE!</v>
      </c>
      <c r="S1" t="e">
        <f>AND('財法所101-英文法務組'!F2,"AAAAAGjt/xI=")</f>
        <v>#VALUE!</v>
      </c>
      <c r="T1" t="e">
        <f>AND('財法所101-英文法務組'!G2,"AAAAAGjt/xM=")</f>
        <v>#VALUE!</v>
      </c>
      <c r="U1" t="e">
        <f>AND('財法所101-英文法務組'!H2,"AAAAAGjt/xQ=")</f>
        <v>#VALUE!</v>
      </c>
      <c r="V1" t="e">
        <f>AND('財法所101-英文法務組'!I2,"AAAAAGjt/xU=")</f>
        <v>#VALUE!</v>
      </c>
      <c r="W1" t="e">
        <f>AND('財法所101-英文法務組'!J2,"AAAAAGjt/xY=")</f>
        <v>#VALUE!</v>
      </c>
      <c r="X1" t="e">
        <f>AND('財法所101-英文法務組'!K2,"AAAAAGjt/xc=")</f>
        <v>#VALUE!</v>
      </c>
      <c r="Y1">
        <f>IF('財法所101-英文法務組'!3:3,"AAAAAGjt/xg=",0)</f>
        <v>0</v>
      </c>
      <c r="Z1" t="e">
        <f>AND('財法所101-英文法務組'!A3,"AAAAAGjt/xk=")</f>
        <v>#VALUE!</v>
      </c>
      <c r="AA1" t="e">
        <f>AND('財法所101-英文法務組'!B3,"AAAAAGjt/xo=")</f>
        <v>#VALUE!</v>
      </c>
      <c r="AB1" t="e">
        <f>AND('財法所101-英文法務組'!C3,"AAAAAGjt/xs=")</f>
        <v>#VALUE!</v>
      </c>
      <c r="AC1" t="e">
        <f>AND('財法所101-英文法務組'!D3,"AAAAAGjt/xw=")</f>
        <v>#VALUE!</v>
      </c>
      <c r="AD1" t="e">
        <f>AND('財法所101-英文法務組'!E3,"AAAAAGjt/x0=")</f>
        <v>#VALUE!</v>
      </c>
      <c r="AE1" t="e">
        <f>AND('財法所101-英文法務組'!F3,"AAAAAGjt/x4=")</f>
        <v>#VALUE!</v>
      </c>
      <c r="AF1" t="e">
        <f>AND('財法所101-英文法務組'!G3,"AAAAAGjt/x8=")</f>
        <v>#VALUE!</v>
      </c>
      <c r="AG1" t="e">
        <f>AND('財法所101-英文法務組'!H3,"AAAAAGjt/yA=")</f>
        <v>#VALUE!</v>
      </c>
      <c r="AH1" t="e">
        <f>AND('財法所101-英文法務組'!I3,"AAAAAGjt/yE=")</f>
        <v>#VALUE!</v>
      </c>
      <c r="AI1" t="e">
        <f>AND('財法所101-英文法務組'!J3,"AAAAAGjt/yI=")</f>
        <v>#VALUE!</v>
      </c>
      <c r="AJ1" t="e">
        <f>AND('財法所101-英文法務組'!K3,"AAAAAGjt/yM=")</f>
        <v>#VALUE!</v>
      </c>
      <c r="AK1">
        <f>IF('財法所101-英文法務組'!4:4,"AAAAAGjt/yQ=",0)</f>
        <v>0</v>
      </c>
      <c r="AL1" t="e">
        <f>AND('財法所101-英文法務組'!A4,"AAAAAGjt/yU=")</f>
        <v>#VALUE!</v>
      </c>
      <c r="AM1" t="e">
        <f>AND('財法所101-英文法務組'!B4,"AAAAAGjt/yY=")</f>
        <v>#VALUE!</v>
      </c>
      <c r="AN1" t="e">
        <f>AND('財法所101-英文法務組'!C4,"AAAAAGjt/yc=")</f>
        <v>#VALUE!</v>
      </c>
      <c r="AO1" t="e">
        <f>AND('財法所101-英文法務組'!D4,"AAAAAGjt/yg=")</f>
        <v>#VALUE!</v>
      </c>
      <c r="AP1" t="e">
        <f>AND('財法所101-英文法務組'!E4,"AAAAAGjt/yk=")</f>
        <v>#VALUE!</v>
      </c>
      <c r="AQ1" t="e">
        <f>AND('財法所101-英文法務組'!F4,"AAAAAGjt/yo=")</f>
        <v>#VALUE!</v>
      </c>
      <c r="AR1" t="e">
        <f>AND('財法所101-英文法務組'!G4,"AAAAAGjt/ys=")</f>
        <v>#VALUE!</v>
      </c>
      <c r="AS1" t="e">
        <f>AND('財法所101-英文法務組'!H4,"AAAAAGjt/yw=")</f>
        <v>#VALUE!</v>
      </c>
      <c r="AT1" t="e">
        <f>AND('財法所101-英文法務組'!I4,"AAAAAGjt/y0=")</f>
        <v>#VALUE!</v>
      </c>
      <c r="AU1" t="e">
        <f>AND('財法所101-英文法務組'!J4,"AAAAAGjt/y4=")</f>
        <v>#VALUE!</v>
      </c>
      <c r="AV1" t="e">
        <f>AND('財法所101-英文法務組'!K4,"AAAAAGjt/y8=")</f>
        <v>#VALUE!</v>
      </c>
      <c r="AW1">
        <f>IF('財法所101-英文法務組'!5:5,"AAAAAGjt/zA=",0)</f>
        <v>0</v>
      </c>
      <c r="AX1" t="e">
        <f>AND('財法所101-英文法務組'!A5,"AAAAAGjt/zE=")</f>
        <v>#VALUE!</v>
      </c>
      <c r="AY1" t="e">
        <f>AND('財法所101-英文法務組'!B5,"AAAAAGjt/zI=")</f>
        <v>#VALUE!</v>
      </c>
      <c r="AZ1" t="e">
        <f>AND('財法所101-英文法務組'!C5,"AAAAAGjt/zM=")</f>
        <v>#VALUE!</v>
      </c>
      <c r="BA1" t="e">
        <f>AND('財法所101-英文法務組'!D5,"AAAAAGjt/zQ=")</f>
        <v>#VALUE!</v>
      </c>
      <c r="BB1" t="e">
        <f>AND('財法所101-英文法務組'!E5,"AAAAAGjt/zU=")</f>
        <v>#VALUE!</v>
      </c>
      <c r="BC1" t="e">
        <f>AND('財法所101-英文法務組'!F5,"AAAAAGjt/zY=")</f>
        <v>#VALUE!</v>
      </c>
      <c r="BD1" t="e">
        <f>AND('財法所101-英文法務組'!G5,"AAAAAGjt/zc=")</f>
        <v>#VALUE!</v>
      </c>
      <c r="BE1" t="e">
        <f>AND('財法所101-英文法務組'!H5,"AAAAAGjt/zg=")</f>
        <v>#VALUE!</v>
      </c>
      <c r="BF1" t="e">
        <f>AND('財法所101-英文法務組'!I5,"AAAAAGjt/zk=")</f>
        <v>#VALUE!</v>
      </c>
      <c r="BG1" t="e">
        <f>AND('財法所101-英文法務組'!J5,"AAAAAGjt/zo=")</f>
        <v>#VALUE!</v>
      </c>
      <c r="BH1" t="e">
        <f>AND('財法所101-英文法務組'!K5,"AAAAAGjt/zs=")</f>
        <v>#VALUE!</v>
      </c>
      <c r="BI1">
        <f>IF('財法所101-英文法務組'!6:6,"AAAAAGjt/zw=",0)</f>
        <v>0</v>
      </c>
      <c r="BJ1" t="e">
        <f>AND('財法所101-英文法務組'!A6,"AAAAAGjt/z0=")</f>
        <v>#VALUE!</v>
      </c>
      <c r="BK1" t="e">
        <f>AND('財法所101-英文法務組'!B6,"AAAAAGjt/z4=")</f>
        <v>#VALUE!</v>
      </c>
      <c r="BL1" t="e">
        <f>AND('財法所101-英文法務組'!C6,"AAAAAGjt/z8=")</f>
        <v>#VALUE!</v>
      </c>
      <c r="BM1" t="e">
        <f>AND('財法所101-英文法務組'!D6,"AAAAAGjt/0A=")</f>
        <v>#VALUE!</v>
      </c>
      <c r="BN1" t="e">
        <f>AND('財法所101-英文法務組'!E6,"AAAAAGjt/0E=")</f>
        <v>#VALUE!</v>
      </c>
      <c r="BO1" t="e">
        <f>AND('財法所101-英文法務組'!F6,"AAAAAGjt/0I=")</f>
        <v>#VALUE!</v>
      </c>
      <c r="BP1" t="e">
        <f>AND('財法所101-英文法務組'!G6,"AAAAAGjt/0M=")</f>
        <v>#VALUE!</v>
      </c>
      <c r="BQ1" t="e">
        <f>AND('財法所101-英文法務組'!H6,"AAAAAGjt/0Q=")</f>
        <v>#VALUE!</v>
      </c>
      <c r="BR1" t="e">
        <f>AND('財法所101-英文法務組'!I6,"AAAAAGjt/0U=")</f>
        <v>#VALUE!</v>
      </c>
      <c r="BS1" t="e">
        <f>AND('財法所101-英文法務組'!J6,"AAAAAGjt/0Y=")</f>
        <v>#VALUE!</v>
      </c>
      <c r="BT1" t="e">
        <f>AND('財法所101-英文法務組'!K6,"AAAAAGjt/0c=")</f>
        <v>#VALUE!</v>
      </c>
      <c r="BU1">
        <f>IF('財法所101-英文法務組'!7:7,"AAAAAGjt/0g=",0)</f>
        <v>0</v>
      </c>
      <c r="BV1" t="e">
        <f>AND('財法所101-英文法務組'!A7,"AAAAAGjt/0k=")</f>
        <v>#VALUE!</v>
      </c>
      <c r="BW1" t="e">
        <f>AND('財法所101-英文法務組'!B7,"AAAAAGjt/0o=")</f>
        <v>#VALUE!</v>
      </c>
      <c r="BX1" t="e">
        <f>AND('財法所101-英文法務組'!C7,"AAAAAGjt/0s=")</f>
        <v>#VALUE!</v>
      </c>
      <c r="BY1" t="e">
        <f>AND('財法所101-英文法務組'!D7,"AAAAAGjt/0w=")</f>
        <v>#VALUE!</v>
      </c>
      <c r="BZ1" t="e">
        <f>AND('財法所101-英文法務組'!E7,"AAAAAGjt/00=")</f>
        <v>#VALUE!</v>
      </c>
      <c r="CA1" t="e">
        <f>AND('財法所101-英文法務組'!F7,"AAAAAGjt/04=")</f>
        <v>#VALUE!</v>
      </c>
      <c r="CB1" t="e">
        <f>AND('財法所101-英文法務組'!G7,"AAAAAGjt/08=")</f>
        <v>#VALUE!</v>
      </c>
      <c r="CC1" t="e">
        <f>AND('財法所101-英文法務組'!H7,"AAAAAGjt/1A=")</f>
        <v>#VALUE!</v>
      </c>
      <c r="CD1" t="e">
        <f>AND('財法所101-英文法務組'!I7,"AAAAAGjt/1E=")</f>
        <v>#VALUE!</v>
      </c>
      <c r="CE1" t="e">
        <f>AND('財法所101-英文法務組'!J7,"AAAAAGjt/1I=")</f>
        <v>#VALUE!</v>
      </c>
      <c r="CF1" t="e">
        <f>AND('財法所101-英文法務組'!K7,"AAAAAGjt/1M=")</f>
        <v>#VALUE!</v>
      </c>
      <c r="CG1">
        <f>IF('財法所101-英文法務組'!8:8,"AAAAAGjt/1Q=",0)</f>
        <v>0</v>
      </c>
      <c r="CH1" t="e">
        <f>AND('財法所101-英文法務組'!A8,"AAAAAGjt/1U=")</f>
        <v>#VALUE!</v>
      </c>
      <c r="CI1" t="e">
        <f>AND('財法所101-英文法務組'!B8,"AAAAAGjt/1Y=")</f>
        <v>#VALUE!</v>
      </c>
      <c r="CJ1" t="e">
        <f>AND('財法所101-英文法務組'!C8,"AAAAAGjt/1c=")</f>
        <v>#VALUE!</v>
      </c>
      <c r="CK1" t="e">
        <f>AND('財法所101-英文法務組'!D8,"AAAAAGjt/1g=")</f>
        <v>#VALUE!</v>
      </c>
      <c r="CL1" t="e">
        <f>AND('財法所101-英文法務組'!E8,"AAAAAGjt/1k=")</f>
        <v>#VALUE!</v>
      </c>
      <c r="CM1" t="e">
        <f>AND('財法所101-英文法務組'!F8,"AAAAAGjt/1o=")</f>
        <v>#VALUE!</v>
      </c>
      <c r="CN1" t="e">
        <f>AND('財法所101-英文法務組'!G8,"AAAAAGjt/1s=")</f>
        <v>#VALUE!</v>
      </c>
      <c r="CO1" t="e">
        <f>AND('財法所101-英文法務組'!H8,"AAAAAGjt/1w=")</f>
        <v>#VALUE!</v>
      </c>
      <c r="CP1" t="e">
        <f>AND('財法所101-英文法務組'!I8,"AAAAAGjt/10=")</f>
        <v>#VALUE!</v>
      </c>
      <c r="CQ1" t="e">
        <f>AND('財法所101-英文法務組'!J8,"AAAAAGjt/14=")</f>
        <v>#VALUE!</v>
      </c>
      <c r="CR1" t="e">
        <f>AND('財法所101-英文法務組'!K8,"AAAAAGjt/18=")</f>
        <v>#VALUE!</v>
      </c>
      <c r="CS1">
        <f>IF('財法所101-英文法務組'!9:9,"AAAAAGjt/2A=",0)</f>
        <v>0</v>
      </c>
      <c r="CT1" t="e">
        <f>AND('財法所101-英文法務組'!A9,"AAAAAGjt/2E=")</f>
        <v>#VALUE!</v>
      </c>
      <c r="CU1" t="e">
        <f>AND('財法所101-英文法務組'!B9,"AAAAAGjt/2I=")</f>
        <v>#VALUE!</v>
      </c>
      <c r="CV1" t="e">
        <f>AND('財法所101-英文法務組'!C9,"AAAAAGjt/2M=")</f>
        <v>#VALUE!</v>
      </c>
      <c r="CW1" t="e">
        <f>AND('財法所101-英文法務組'!D9,"AAAAAGjt/2Q=")</f>
        <v>#VALUE!</v>
      </c>
      <c r="CX1" t="e">
        <f>AND('財法所101-英文法務組'!E9,"AAAAAGjt/2U=")</f>
        <v>#VALUE!</v>
      </c>
      <c r="CY1" t="e">
        <f>AND('財法所101-英文法務組'!F9,"AAAAAGjt/2Y=")</f>
        <v>#VALUE!</v>
      </c>
      <c r="CZ1" t="e">
        <f>AND('財法所101-英文法務組'!G9,"AAAAAGjt/2c=")</f>
        <v>#VALUE!</v>
      </c>
      <c r="DA1" t="e">
        <f>AND('財法所101-英文法務組'!H9,"AAAAAGjt/2g=")</f>
        <v>#VALUE!</v>
      </c>
      <c r="DB1" t="e">
        <f>AND('財法所101-英文法務組'!I9,"AAAAAGjt/2k=")</f>
        <v>#VALUE!</v>
      </c>
      <c r="DC1" t="e">
        <f>AND('財法所101-英文法務組'!J9,"AAAAAGjt/2o=")</f>
        <v>#VALUE!</v>
      </c>
      <c r="DD1" t="e">
        <f>AND('財法所101-英文法務組'!K9,"AAAAAGjt/2s=")</f>
        <v>#VALUE!</v>
      </c>
      <c r="DE1">
        <f>IF('財法所101-英文法務組'!10:10,"AAAAAGjt/2w=",0)</f>
        <v>0</v>
      </c>
      <c r="DF1" t="e">
        <f>AND('財法所101-英文法務組'!A10,"AAAAAGjt/20=")</f>
        <v>#VALUE!</v>
      </c>
      <c r="DG1" t="e">
        <f>AND('財法所101-英文法務組'!B10,"AAAAAGjt/24=")</f>
        <v>#VALUE!</v>
      </c>
      <c r="DH1" t="e">
        <f>AND('財法所101-英文法務組'!C10,"AAAAAGjt/28=")</f>
        <v>#VALUE!</v>
      </c>
      <c r="DI1" t="e">
        <f>AND('財法所101-英文法務組'!D10,"AAAAAGjt/3A=")</f>
        <v>#VALUE!</v>
      </c>
      <c r="DJ1" t="e">
        <f>AND('財法所101-英文法務組'!E10,"AAAAAGjt/3E=")</f>
        <v>#VALUE!</v>
      </c>
      <c r="DK1" t="e">
        <f>AND('財法所101-英文法務組'!F10,"AAAAAGjt/3I=")</f>
        <v>#VALUE!</v>
      </c>
      <c r="DL1" t="e">
        <f>AND('財法所101-英文法務組'!G10,"AAAAAGjt/3M=")</f>
        <v>#VALUE!</v>
      </c>
      <c r="DM1" t="e">
        <f>AND('財法所101-英文法務組'!H10,"AAAAAGjt/3Q=")</f>
        <v>#VALUE!</v>
      </c>
      <c r="DN1" t="e">
        <f>AND('財法所101-英文法務組'!I10,"AAAAAGjt/3U=")</f>
        <v>#VALUE!</v>
      </c>
      <c r="DO1" t="e">
        <f>AND('財法所101-英文法務組'!J10,"AAAAAGjt/3Y=")</f>
        <v>#VALUE!</v>
      </c>
      <c r="DP1" t="e">
        <f>AND('財法所101-英文法務組'!K10,"AAAAAGjt/3c=")</f>
        <v>#VALUE!</v>
      </c>
      <c r="DQ1">
        <f>IF('財法所101-英文法務組'!11:11,"AAAAAGjt/3g=",0)</f>
        <v>0</v>
      </c>
      <c r="DR1" t="e">
        <f>AND('財法所101-英文法務組'!A11,"AAAAAGjt/3k=")</f>
        <v>#VALUE!</v>
      </c>
      <c r="DS1" t="e">
        <f>AND('財法所101-英文法務組'!B11,"AAAAAGjt/3o=")</f>
        <v>#VALUE!</v>
      </c>
      <c r="DT1" t="e">
        <f>AND('財法所101-英文法務組'!C11,"AAAAAGjt/3s=")</f>
        <v>#VALUE!</v>
      </c>
      <c r="DU1" t="e">
        <f>AND('財法所101-英文法務組'!D11,"AAAAAGjt/3w=")</f>
        <v>#VALUE!</v>
      </c>
      <c r="DV1" t="e">
        <f>AND('財法所101-英文法務組'!E11,"AAAAAGjt/30=")</f>
        <v>#VALUE!</v>
      </c>
      <c r="DW1" t="e">
        <f>AND('財法所101-英文法務組'!F11,"AAAAAGjt/34=")</f>
        <v>#VALUE!</v>
      </c>
      <c r="DX1" t="e">
        <f>AND('財法所101-英文法務組'!G11,"AAAAAGjt/38=")</f>
        <v>#VALUE!</v>
      </c>
      <c r="DY1" t="e">
        <f>AND('財法所101-英文法務組'!H11,"AAAAAGjt/4A=")</f>
        <v>#VALUE!</v>
      </c>
      <c r="DZ1" t="e">
        <f>AND('財法所101-英文法務組'!I11,"AAAAAGjt/4E=")</f>
        <v>#VALUE!</v>
      </c>
      <c r="EA1" t="e">
        <f>AND('財法所101-英文法務組'!J11,"AAAAAGjt/4I=")</f>
        <v>#VALUE!</v>
      </c>
      <c r="EB1" t="e">
        <f>AND('財法所101-英文法務組'!K11,"AAAAAGjt/4M=")</f>
        <v>#VALUE!</v>
      </c>
      <c r="EC1">
        <f>IF('財法所101-英文法務組'!13:13,"AAAAAGjt/4Q=",0)</f>
        <v>0</v>
      </c>
      <c r="ED1" t="e">
        <f>AND('財法所101-英文法務組'!A13,"AAAAAGjt/4U=")</f>
        <v>#VALUE!</v>
      </c>
      <c r="EE1" t="e">
        <f>AND('財法所101-英文法務組'!B13,"AAAAAGjt/4Y=")</f>
        <v>#VALUE!</v>
      </c>
      <c r="EF1" t="e">
        <f>AND('財法所101-英文法務組'!C13,"AAAAAGjt/4c=")</f>
        <v>#VALUE!</v>
      </c>
      <c r="EG1" t="e">
        <f>AND('財法所101-英文法務組'!D13,"AAAAAGjt/4g=")</f>
        <v>#VALUE!</v>
      </c>
      <c r="EH1" t="e">
        <f>AND('財法所101-英文法務組'!E13,"AAAAAGjt/4k=")</f>
        <v>#VALUE!</v>
      </c>
      <c r="EI1" t="e">
        <f>AND('財法所101-英文法務組'!F13,"AAAAAGjt/4o=")</f>
        <v>#VALUE!</v>
      </c>
      <c r="EJ1" t="e">
        <f>AND('財法所101-英文法務組'!G13,"AAAAAGjt/4s=")</f>
        <v>#VALUE!</v>
      </c>
      <c r="EK1" t="e">
        <f>AND('財法所101-英文法務組'!H13,"AAAAAGjt/4w=")</f>
        <v>#VALUE!</v>
      </c>
      <c r="EL1" t="e">
        <f>AND('財法所101-英文法務組'!I13,"AAAAAGjt/40=")</f>
        <v>#VALUE!</v>
      </c>
      <c r="EM1" t="e">
        <f>AND('財法所101-英文法務組'!J13,"AAAAAGjt/44=")</f>
        <v>#VALUE!</v>
      </c>
      <c r="EN1" t="e">
        <f>AND('財法所101-英文法務組'!K13,"AAAAAGjt/48=")</f>
        <v>#VALUE!</v>
      </c>
      <c r="EO1">
        <f>IF('財法所101-英文法務組'!14:14,"AAAAAGjt/5A=",0)</f>
        <v>0</v>
      </c>
      <c r="EP1" t="e">
        <f>AND('財法所101-英文法務組'!A14,"AAAAAGjt/5E=")</f>
        <v>#VALUE!</v>
      </c>
      <c r="EQ1" t="e">
        <f>AND('財法所101-英文法務組'!B14,"AAAAAGjt/5I=")</f>
        <v>#VALUE!</v>
      </c>
      <c r="ER1" t="e">
        <f>AND('財法所101-英文法務組'!C14,"AAAAAGjt/5M=")</f>
        <v>#VALUE!</v>
      </c>
      <c r="ES1" t="e">
        <f>AND('財法所101-英文法務組'!D14,"AAAAAGjt/5Q=")</f>
        <v>#VALUE!</v>
      </c>
      <c r="ET1" t="e">
        <f>AND('財法所101-英文法務組'!E14,"AAAAAGjt/5U=")</f>
        <v>#VALUE!</v>
      </c>
      <c r="EU1" t="e">
        <f>AND('財法所101-英文法務組'!F14,"AAAAAGjt/5Y=")</f>
        <v>#VALUE!</v>
      </c>
      <c r="EV1" t="e">
        <f>AND('財法所101-英文法務組'!G14,"AAAAAGjt/5c=")</f>
        <v>#VALUE!</v>
      </c>
      <c r="EW1" t="e">
        <f>AND('財法所101-英文法務組'!H14,"AAAAAGjt/5g=")</f>
        <v>#VALUE!</v>
      </c>
      <c r="EX1" t="e">
        <f>AND('財法所101-英文法務組'!I14,"AAAAAGjt/5k=")</f>
        <v>#VALUE!</v>
      </c>
      <c r="EY1" t="e">
        <f>AND('財法所101-英文法務組'!J14,"AAAAAGjt/5o=")</f>
        <v>#VALUE!</v>
      </c>
      <c r="EZ1" t="e">
        <f>AND('財法所101-英文法務組'!K14,"AAAAAGjt/5s=")</f>
        <v>#VALUE!</v>
      </c>
      <c r="FA1">
        <f>IF('財法所101-英文法務組'!15:15,"AAAAAGjt/5w=",0)</f>
        <v>0</v>
      </c>
      <c r="FB1" t="e">
        <f>AND('財法所101-英文法務組'!A15,"AAAAAGjt/50=")</f>
        <v>#VALUE!</v>
      </c>
      <c r="FC1" t="e">
        <f>AND('財法所101-英文法務組'!B15,"AAAAAGjt/54=")</f>
        <v>#VALUE!</v>
      </c>
      <c r="FD1" t="e">
        <f>AND('財法所101-英文法務組'!C15,"AAAAAGjt/58=")</f>
        <v>#VALUE!</v>
      </c>
      <c r="FE1" t="e">
        <f>AND('財法所101-英文法務組'!D15,"AAAAAGjt/6A=")</f>
        <v>#VALUE!</v>
      </c>
      <c r="FF1" t="e">
        <f>AND('財法所101-英文法務組'!E15,"AAAAAGjt/6E=")</f>
        <v>#VALUE!</v>
      </c>
      <c r="FG1" t="e">
        <f>AND('財法所101-英文法務組'!F15,"AAAAAGjt/6I=")</f>
        <v>#VALUE!</v>
      </c>
      <c r="FH1" t="e">
        <f>AND('財法所101-英文法務組'!G15,"AAAAAGjt/6M=")</f>
        <v>#VALUE!</v>
      </c>
      <c r="FI1" t="e">
        <f>AND('財法所101-英文法務組'!H15,"AAAAAGjt/6Q=")</f>
        <v>#VALUE!</v>
      </c>
      <c r="FJ1" t="e">
        <f>AND('財法所101-英文法務組'!I15,"AAAAAGjt/6U=")</f>
        <v>#VALUE!</v>
      </c>
      <c r="FK1" t="e">
        <f>AND('財法所101-英文法務組'!J15,"AAAAAGjt/6Y=")</f>
        <v>#VALUE!</v>
      </c>
      <c r="FL1" t="e">
        <f>AND('財法所101-英文法務組'!K15,"AAAAAGjt/6c=")</f>
        <v>#VALUE!</v>
      </c>
      <c r="FM1">
        <f>IF('財法所101-英文法務組'!16:16,"AAAAAGjt/6g=",0)</f>
        <v>0</v>
      </c>
      <c r="FN1" t="e">
        <f>AND('財法所101-英文法務組'!A16,"AAAAAGjt/6k=")</f>
        <v>#VALUE!</v>
      </c>
      <c r="FO1" t="e">
        <f>AND('財法所101-英文法務組'!B16,"AAAAAGjt/6o=")</f>
        <v>#VALUE!</v>
      </c>
      <c r="FP1" t="e">
        <f>AND('財法所101-英文法務組'!C16,"AAAAAGjt/6s=")</f>
        <v>#VALUE!</v>
      </c>
      <c r="FQ1" t="e">
        <f>AND('財法所101-英文法務組'!D16,"AAAAAGjt/6w=")</f>
        <v>#VALUE!</v>
      </c>
      <c r="FR1" t="e">
        <f>AND('財法所101-英文法務組'!E16,"AAAAAGjt/60=")</f>
        <v>#VALUE!</v>
      </c>
      <c r="FS1" t="e">
        <f>AND('財法所101-英文法務組'!F16,"AAAAAGjt/64=")</f>
        <v>#VALUE!</v>
      </c>
      <c r="FT1" t="e">
        <f>AND('財法所101-英文法務組'!G16,"AAAAAGjt/68=")</f>
        <v>#VALUE!</v>
      </c>
      <c r="FU1" t="e">
        <f>AND('財法所101-英文法務組'!H16,"AAAAAGjt/7A=")</f>
        <v>#VALUE!</v>
      </c>
      <c r="FV1" t="e">
        <f>AND('財法所101-英文法務組'!I16,"AAAAAGjt/7E=")</f>
        <v>#VALUE!</v>
      </c>
      <c r="FW1" t="e">
        <f>AND('財法所101-英文法務組'!J16,"AAAAAGjt/7I=")</f>
        <v>#VALUE!</v>
      </c>
      <c r="FX1" t="e">
        <f>AND('財法所101-英文法務組'!K16,"AAAAAGjt/7M=")</f>
        <v>#VALUE!</v>
      </c>
      <c r="FY1">
        <f>IF('財法所101-英文法務組'!17:17,"AAAAAGjt/7Q=",0)</f>
        <v>0</v>
      </c>
      <c r="FZ1" t="e">
        <f>AND('財法所101-英文法務組'!A17,"AAAAAGjt/7U=")</f>
        <v>#VALUE!</v>
      </c>
      <c r="GA1" t="e">
        <f>AND('財法所101-英文法務組'!B17,"AAAAAGjt/7Y=")</f>
        <v>#VALUE!</v>
      </c>
      <c r="GB1" t="e">
        <f>AND('財法所101-英文法務組'!C17,"AAAAAGjt/7c=")</f>
        <v>#VALUE!</v>
      </c>
      <c r="GC1" t="e">
        <f>AND('財法所101-英文法務組'!D17,"AAAAAGjt/7g=")</f>
        <v>#VALUE!</v>
      </c>
      <c r="GD1" t="e">
        <f>AND('財法所101-英文法務組'!E17,"AAAAAGjt/7k=")</f>
        <v>#VALUE!</v>
      </c>
      <c r="GE1" t="e">
        <f>AND('財法所101-英文法務組'!F17,"AAAAAGjt/7o=")</f>
        <v>#VALUE!</v>
      </c>
      <c r="GF1" t="e">
        <f>AND('財法所101-英文法務組'!G17,"AAAAAGjt/7s=")</f>
        <v>#VALUE!</v>
      </c>
      <c r="GG1" t="e">
        <f>AND('財法所101-英文法務組'!H17,"AAAAAGjt/7w=")</f>
        <v>#VALUE!</v>
      </c>
      <c r="GH1" t="e">
        <f>AND('財法所101-英文法務組'!I17,"AAAAAGjt/70=")</f>
        <v>#VALUE!</v>
      </c>
      <c r="GI1" t="e">
        <f>AND('財法所101-英文法務組'!J17,"AAAAAGjt/74=")</f>
        <v>#VALUE!</v>
      </c>
      <c r="GJ1" t="e">
        <f>AND('財法所101-英文法務組'!K17,"AAAAAGjt/78=")</f>
        <v>#VALUE!</v>
      </c>
      <c r="GK1">
        <f>IF('財法所101-英文法務組'!18:18,"AAAAAGjt/8A=",0)</f>
        <v>0</v>
      </c>
      <c r="GL1" t="e">
        <f>AND('財法所101-英文法務組'!A18,"AAAAAGjt/8E=")</f>
        <v>#VALUE!</v>
      </c>
      <c r="GM1" t="e">
        <f>AND('財法所101-英文法務組'!B18,"AAAAAGjt/8I=")</f>
        <v>#VALUE!</v>
      </c>
      <c r="GN1" t="e">
        <f>AND('財法所101-英文法務組'!C18,"AAAAAGjt/8M=")</f>
        <v>#VALUE!</v>
      </c>
      <c r="GO1" t="e">
        <f>AND('財法所101-英文法務組'!D18,"AAAAAGjt/8Q=")</f>
        <v>#VALUE!</v>
      </c>
      <c r="GP1" t="e">
        <f>AND('財法所101-英文法務組'!E18,"AAAAAGjt/8U=")</f>
        <v>#VALUE!</v>
      </c>
      <c r="GQ1" t="e">
        <f>AND('財法所101-英文法務組'!F18,"AAAAAGjt/8Y=")</f>
        <v>#VALUE!</v>
      </c>
      <c r="GR1" t="e">
        <f>AND('財法所101-英文法務組'!G18,"AAAAAGjt/8c=")</f>
        <v>#VALUE!</v>
      </c>
      <c r="GS1" t="e">
        <f>AND('財法所101-英文法務組'!H18,"AAAAAGjt/8g=")</f>
        <v>#VALUE!</v>
      </c>
      <c r="GT1" t="e">
        <f>AND('財法所101-英文法務組'!I18,"AAAAAGjt/8k=")</f>
        <v>#VALUE!</v>
      </c>
      <c r="GU1" t="e">
        <f>AND('財法所101-英文法務組'!J18,"AAAAAGjt/8o=")</f>
        <v>#VALUE!</v>
      </c>
      <c r="GV1" t="e">
        <f>AND('財法所101-英文法務組'!K18,"AAAAAGjt/8s=")</f>
        <v>#VALUE!</v>
      </c>
      <c r="GW1">
        <f>IF('財法所101-英文法務組'!19:19,"AAAAAGjt/8w=",0)</f>
        <v>0</v>
      </c>
      <c r="GX1" t="e">
        <f>AND('財法所101-英文法務組'!A19,"AAAAAGjt/80=")</f>
        <v>#VALUE!</v>
      </c>
      <c r="GY1" t="e">
        <f>AND('財法所101-英文法務組'!B19,"AAAAAGjt/84=")</f>
        <v>#VALUE!</v>
      </c>
      <c r="GZ1" t="e">
        <f>AND('財法所101-英文法務組'!C19,"AAAAAGjt/88=")</f>
        <v>#VALUE!</v>
      </c>
      <c r="HA1" t="e">
        <f>AND('財法所101-英文法務組'!D19,"AAAAAGjt/9A=")</f>
        <v>#VALUE!</v>
      </c>
      <c r="HB1" t="e">
        <f>AND('財法所101-英文法務組'!E19,"AAAAAGjt/9E=")</f>
        <v>#VALUE!</v>
      </c>
      <c r="HC1" t="e">
        <f>AND('財法所101-英文法務組'!F19,"AAAAAGjt/9I=")</f>
        <v>#VALUE!</v>
      </c>
      <c r="HD1" t="e">
        <f>AND('財法所101-英文法務組'!G19,"AAAAAGjt/9M=")</f>
        <v>#VALUE!</v>
      </c>
      <c r="HE1" t="e">
        <f>AND('財法所101-英文法務組'!H19,"AAAAAGjt/9Q=")</f>
        <v>#VALUE!</v>
      </c>
      <c r="HF1" t="e">
        <f>AND('財法所101-英文法務組'!I19,"AAAAAGjt/9U=")</f>
        <v>#VALUE!</v>
      </c>
      <c r="HG1" t="e">
        <f>AND('財法所101-英文法務組'!J19,"AAAAAGjt/9Y=")</f>
        <v>#VALUE!</v>
      </c>
      <c r="HH1" t="e">
        <f>AND('財法所101-英文法務組'!K19,"AAAAAGjt/9c=")</f>
        <v>#VALUE!</v>
      </c>
      <c r="HI1">
        <f>IF('財法所101-英文法務組'!20:20,"AAAAAGjt/9g=",0)</f>
        <v>0</v>
      </c>
      <c r="HJ1" t="e">
        <f>AND('財法所101-英文法務組'!A20,"AAAAAGjt/9k=")</f>
        <v>#VALUE!</v>
      </c>
      <c r="HK1" t="e">
        <f>AND('財法所101-英文法務組'!B20,"AAAAAGjt/9o=")</f>
        <v>#VALUE!</v>
      </c>
      <c r="HL1" t="e">
        <f>AND('財法所101-英文法務組'!C20,"AAAAAGjt/9s=")</f>
        <v>#VALUE!</v>
      </c>
      <c r="HM1" t="e">
        <f>AND('財法所101-英文法務組'!D20,"AAAAAGjt/9w=")</f>
        <v>#VALUE!</v>
      </c>
      <c r="HN1" t="e">
        <f>AND('財法所101-英文法務組'!E20,"AAAAAGjt/90=")</f>
        <v>#VALUE!</v>
      </c>
      <c r="HO1" t="e">
        <f>AND('財法所101-英文法務組'!F20,"AAAAAGjt/94=")</f>
        <v>#VALUE!</v>
      </c>
      <c r="HP1" t="e">
        <f>AND('財法所101-英文法務組'!G20,"AAAAAGjt/98=")</f>
        <v>#VALUE!</v>
      </c>
      <c r="HQ1" t="e">
        <f>AND('財法所101-英文法務組'!H20,"AAAAAGjt/+A=")</f>
        <v>#VALUE!</v>
      </c>
      <c r="HR1" t="e">
        <f>AND('財法所101-英文法務組'!I20,"AAAAAGjt/+E=")</f>
        <v>#VALUE!</v>
      </c>
      <c r="HS1" t="e">
        <f>AND('財法所101-英文法務組'!J20,"AAAAAGjt/+I=")</f>
        <v>#VALUE!</v>
      </c>
      <c r="HT1" t="e">
        <f>AND('財法所101-英文法務組'!K20,"AAAAAGjt/+M=")</f>
        <v>#VALUE!</v>
      </c>
      <c r="HU1">
        <f>IF('財法所101-英文法務組'!21:21,"AAAAAGjt/+Q=",0)</f>
        <v>0</v>
      </c>
      <c r="HV1" t="e">
        <f>AND('財法所101-英文法務組'!A21,"AAAAAGjt/+U=")</f>
        <v>#VALUE!</v>
      </c>
      <c r="HW1" t="e">
        <f>AND('財法所101-英文法務組'!B21,"AAAAAGjt/+Y=")</f>
        <v>#VALUE!</v>
      </c>
      <c r="HX1" t="e">
        <f>AND('財法所101-英文法務組'!C21,"AAAAAGjt/+c=")</f>
        <v>#VALUE!</v>
      </c>
      <c r="HY1" t="e">
        <f>AND('財法所101-英文法務組'!D21,"AAAAAGjt/+g=")</f>
        <v>#VALUE!</v>
      </c>
      <c r="HZ1" t="e">
        <f>AND('財法所101-英文法務組'!E21,"AAAAAGjt/+k=")</f>
        <v>#VALUE!</v>
      </c>
      <c r="IA1" t="e">
        <f>AND('財法所101-英文法務組'!F21,"AAAAAGjt/+o=")</f>
        <v>#VALUE!</v>
      </c>
      <c r="IB1" t="e">
        <f>AND('財法所101-英文法務組'!G21,"AAAAAGjt/+s=")</f>
        <v>#VALUE!</v>
      </c>
      <c r="IC1" t="e">
        <f>AND('財法所101-英文法務組'!H21,"AAAAAGjt/+w=")</f>
        <v>#VALUE!</v>
      </c>
      <c r="ID1" t="e">
        <f>AND('財法所101-英文法務組'!I21,"AAAAAGjt/+0=")</f>
        <v>#VALUE!</v>
      </c>
      <c r="IE1" t="e">
        <f>AND('財法所101-英文法務組'!J21,"AAAAAGjt/+4=")</f>
        <v>#VALUE!</v>
      </c>
      <c r="IF1" t="e">
        <f>AND('財法所101-英文法務組'!K21,"AAAAAGjt/+8=")</f>
        <v>#VALUE!</v>
      </c>
      <c r="IG1">
        <f>IF('財法所101-英文法務組'!22:22,"AAAAAGjt//A=",0)</f>
        <v>0</v>
      </c>
      <c r="IH1" t="e">
        <f>AND('財法所101-英文法務組'!A22,"AAAAAGjt//E=")</f>
        <v>#VALUE!</v>
      </c>
      <c r="II1" t="e">
        <f>AND('財法所101-英文法務組'!B22,"AAAAAGjt//I=")</f>
        <v>#VALUE!</v>
      </c>
      <c r="IJ1" t="e">
        <f>AND('財法所101-英文法務組'!C22,"AAAAAGjt//M=")</f>
        <v>#VALUE!</v>
      </c>
      <c r="IK1" t="e">
        <f>AND('財法所101-英文法務組'!D22,"AAAAAGjt//Q=")</f>
        <v>#VALUE!</v>
      </c>
      <c r="IL1" t="e">
        <f>AND('財法所101-英文法務組'!E22,"AAAAAGjt//U=")</f>
        <v>#VALUE!</v>
      </c>
      <c r="IM1" t="e">
        <f>AND('財法所101-英文法務組'!F22,"AAAAAGjt//Y=")</f>
        <v>#VALUE!</v>
      </c>
      <c r="IN1" t="e">
        <f>AND('財法所101-英文法務組'!G22,"AAAAAGjt//c=")</f>
        <v>#VALUE!</v>
      </c>
      <c r="IO1" t="e">
        <f>AND('財法所101-英文法務組'!H22,"AAAAAGjt//g=")</f>
        <v>#VALUE!</v>
      </c>
      <c r="IP1" t="e">
        <f>AND('財法所101-英文法務組'!I22,"AAAAAGjt//k=")</f>
        <v>#VALUE!</v>
      </c>
      <c r="IQ1" t="e">
        <f>AND('財法所101-英文法務組'!J22,"AAAAAGjt//o=")</f>
        <v>#VALUE!</v>
      </c>
      <c r="IR1" t="e">
        <f>AND('財法所101-英文法務組'!K22,"AAAAAGjt//s=")</f>
        <v>#VALUE!</v>
      </c>
      <c r="IS1">
        <f>IF('財法所101-英文法務組'!23:23,"AAAAAGjt//w=",0)</f>
        <v>0</v>
      </c>
      <c r="IT1" t="e">
        <f>AND('財法所101-英文法務組'!A23,"AAAAAGjt//0=")</f>
        <v>#VALUE!</v>
      </c>
      <c r="IU1" t="e">
        <f>AND('財法所101-英文法務組'!B23,"AAAAAGjt//4=")</f>
        <v>#VALUE!</v>
      </c>
      <c r="IV1" t="e">
        <f>AND('財法所101-英文法務組'!C23,"AAAAAGjt//8=")</f>
        <v>#VALUE!</v>
      </c>
    </row>
    <row r="2" spans="1:256">
      <c r="A2" t="e">
        <f>AND('財法所101-英文法務組'!D23,"AAAAAH3v/wA=")</f>
        <v>#VALUE!</v>
      </c>
      <c r="B2" t="e">
        <f>AND('財法所101-英文法務組'!E23,"AAAAAH3v/wE=")</f>
        <v>#VALUE!</v>
      </c>
      <c r="C2" t="e">
        <f>AND('財法所101-英文法務組'!F23,"AAAAAH3v/wI=")</f>
        <v>#VALUE!</v>
      </c>
      <c r="D2" t="e">
        <f>AND('財法所101-英文法務組'!G23,"AAAAAH3v/wM=")</f>
        <v>#VALUE!</v>
      </c>
      <c r="E2" t="e">
        <f>AND('財法所101-英文法務組'!H23,"AAAAAH3v/wQ=")</f>
        <v>#VALUE!</v>
      </c>
      <c r="F2" t="e">
        <f>AND('財法所101-英文法務組'!I23,"AAAAAH3v/wU=")</f>
        <v>#VALUE!</v>
      </c>
      <c r="G2" t="e">
        <f>AND('財法所101-英文法務組'!J23,"AAAAAH3v/wY=")</f>
        <v>#VALUE!</v>
      </c>
      <c r="H2" t="e">
        <f>AND('財法所101-英文法務組'!K23,"AAAAAH3v/wc=")</f>
        <v>#VALUE!</v>
      </c>
      <c r="I2" t="str">
        <f>IF('財法所101-英文法務組'!24:24,"AAAAAH3v/wg=",0)</f>
        <v>AAAAAH3v/wg=</v>
      </c>
      <c r="J2" t="e">
        <f>AND('財法所101-英文法務組'!A24,"AAAAAH3v/wk=")</f>
        <v>#VALUE!</v>
      </c>
      <c r="K2" t="e">
        <f>AND('財法所101-英文法務組'!B24,"AAAAAH3v/wo=")</f>
        <v>#VALUE!</v>
      </c>
      <c r="L2" t="e">
        <f>AND('財法所101-英文法務組'!C24,"AAAAAH3v/ws=")</f>
        <v>#VALUE!</v>
      </c>
      <c r="M2" t="e">
        <f>AND('財法所101-英文法務組'!D24,"AAAAAH3v/ww=")</f>
        <v>#VALUE!</v>
      </c>
      <c r="N2" t="e">
        <f>AND('財法所101-英文法務組'!E24,"AAAAAH3v/w0=")</f>
        <v>#VALUE!</v>
      </c>
      <c r="O2" t="e">
        <f>AND('財法所101-英文法務組'!F24,"AAAAAH3v/w4=")</f>
        <v>#VALUE!</v>
      </c>
      <c r="P2" t="e">
        <f>AND('財法所101-英文法務組'!G24,"AAAAAH3v/w8=")</f>
        <v>#VALUE!</v>
      </c>
      <c r="Q2" t="e">
        <f>AND('財法所101-英文法務組'!H24,"AAAAAH3v/xA=")</f>
        <v>#VALUE!</v>
      </c>
      <c r="R2" t="e">
        <f>AND('財法所101-英文法務組'!I24,"AAAAAH3v/xE=")</f>
        <v>#VALUE!</v>
      </c>
      <c r="S2" t="e">
        <f>AND('財法所101-英文法務組'!J24,"AAAAAH3v/xI=")</f>
        <v>#VALUE!</v>
      </c>
      <c r="T2" t="e">
        <f>AND('財法所101-英文法務組'!K24,"AAAAAH3v/xM=")</f>
        <v>#VALUE!</v>
      </c>
      <c r="U2">
        <f>IF('財法所101-英文法務組'!25:25,"AAAAAH3v/xQ=",0)</f>
        <v>0</v>
      </c>
      <c r="V2" t="e">
        <f>AND('財法所101-英文法務組'!A25,"AAAAAH3v/xU=")</f>
        <v>#VALUE!</v>
      </c>
      <c r="W2" t="e">
        <f>AND('財法所101-英文法務組'!B25,"AAAAAH3v/xY=")</f>
        <v>#VALUE!</v>
      </c>
      <c r="X2" t="e">
        <f>AND('財法所101-英文法務組'!C25,"AAAAAH3v/xc=")</f>
        <v>#VALUE!</v>
      </c>
      <c r="Y2" t="e">
        <f>AND('財法所101-英文法務組'!D25,"AAAAAH3v/xg=")</f>
        <v>#VALUE!</v>
      </c>
      <c r="Z2" t="e">
        <f>AND('財法所101-英文法務組'!E25,"AAAAAH3v/xk=")</f>
        <v>#VALUE!</v>
      </c>
      <c r="AA2" t="e">
        <f>AND('財法所101-英文法務組'!F25,"AAAAAH3v/xo=")</f>
        <v>#VALUE!</v>
      </c>
      <c r="AB2" t="e">
        <f>AND('財法所101-英文法務組'!G25,"AAAAAH3v/xs=")</f>
        <v>#VALUE!</v>
      </c>
      <c r="AC2" t="e">
        <f>AND('財法所101-英文法務組'!H25,"AAAAAH3v/xw=")</f>
        <v>#VALUE!</v>
      </c>
      <c r="AD2" t="e">
        <f>AND('財法所101-英文法務組'!I25,"AAAAAH3v/x0=")</f>
        <v>#VALUE!</v>
      </c>
      <c r="AE2" t="e">
        <f>AND('財法所101-英文法務組'!J25,"AAAAAH3v/x4=")</f>
        <v>#VALUE!</v>
      </c>
      <c r="AF2" t="e">
        <f>AND('財法所101-英文法務組'!K25,"AAAAAH3v/x8=")</f>
        <v>#VALUE!</v>
      </c>
      <c r="AG2" t="e">
        <f>IF('財法所101-英文法務組'!#REF!,"AAAAAH3v/yA=",0)</f>
        <v>#REF!</v>
      </c>
      <c r="AH2" t="e">
        <f>AND('財法所101-英文法務組'!#REF!,"AAAAAH3v/yE=")</f>
        <v>#REF!</v>
      </c>
      <c r="AI2" t="e">
        <f>AND('財法所101-英文法務組'!#REF!,"AAAAAH3v/yI=")</f>
        <v>#REF!</v>
      </c>
      <c r="AJ2" t="e">
        <f>AND('財法所101-英文法務組'!#REF!,"AAAAAH3v/yM=")</f>
        <v>#REF!</v>
      </c>
      <c r="AK2" t="e">
        <f>AND('財法所101-英文法務組'!#REF!,"AAAAAH3v/yQ=")</f>
        <v>#REF!</v>
      </c>
      <c r="AL2" t="e">
        <f>AND('財法所101-英文法務組'!#REF!,"AAAAAH3v/yU=")</f>
        <v>#REF!</v>
      </c>
      <c r="AM2" t="e">
        <f>AND('財法所101-英文法務組'!#REF!,"AAAAAH3v/yY=")</f>
        <v>#REF!</v>
      </c>
      <c r="AN2" t="e">
        <f>AND('財法所101-英文法務組'!#REF!,"AAAAAH3v/yc=")</f>
        <v>#REF!</v>
      </c>
      <c r="AO2" t="e">
        <f>AND('財法所101-英文法務組'!#REF!,"AAAAAH3v/yg=")</f>
        <v>#REF!</v>
      </c>
      <c r="AP2" t="e">
        <f>AND('財法所101-英文法務組'!#REF!,"AAAAAH3v/yk=")</f>
        <v>#REF!</v>
      </c>
      <c r="AQ2" t="e">
        <f>AND('財法所101-英文法務組'!#REF!,"AAAAAH3v/yo=")</f>
        <v>#REF!</v>
      </c>
      <c r="AR2" t="e">
        <f>AND('財法所101-英文法務組'!#REF!,"AAAAAH3v/ys=")</f>
        <v>#REF!</v>
      </c>
      <c r="AS2">
        <f>IF('財法所101-英文法務組'!26:26,"AAAAAH3v/yw=",0)</f>
        <v>0</v>
      </c>
      <c r="AT2" t="e">
        <f>AND('財法所101-英文法務組'!A26,"AAAAAH3v/y0=")</f>
        <v>#VALUE!</v>
      </c>
      <c r="AU2" t="e">
        <f>AND('財法所101-英文法務組'!B26,"AAAAAH3v/y4=")</f>
        <v>#VALUE!</v>
      </c>
      <c r="AV2" t="e">
        <f>AND('財法所101-英文法務組'!C26,"AAAAAH3v/y8=")</f>
        <v>#VALUE!</v>
      </c>
      <c r="AW2" t="e">
        <f>AND('財法所101-英文法務組'!D26,"AAAAAH3v/zA=")</f>
        <v>#VALUE!</v>
      </c>
      <c r="AX2" t="e">
        <f>AND('財法所101-英文法務組'!E26,"AAAAAH3v/zE=")</f>
        <v>#VALUE!</v>
      </c>
      <c r="AY2" t="e">
        <f>AND('財法所101-英文法務組'!F26,"AAAAAH3v/zI=")</f>
        <v>#VALUE!</v>
      </c>
      <c r="AZ2" t="e">
        <f>AND('財法所101-英文法務組'!G26,"AAAAAH3v/zM=")</f>
        <v>#VALUE!</v>
      </c>
      <c r="BA2" t="e">
        <f>AND('財法所101-英文法務組'!H26,"AAAAAH3v/zQ=")</f>
        <v>#VALUE!</v>
      </c>
      <c r="BB2" t="e">
        <f>AND('財法所101-英文法務組'!I26,"AAAAAH3v/zU=")</f>
        <v>#VALUE!</v>
      </c>
      <c r="BC2" t="e">
        <f>AND('財法所101-英文法務組'!J26,"AAAAAH3v/zY=")</f>
        <v>#VALUE!</v>
      </c>
      <c r="BD2" t="e">
        <f>AND('財法所101-英文法務組'!K26,"AAAAAH3v/zc=")</f>
        <v>#VALUE!</v>
      </c>
      <c r="BE2" t="e">
        <f>IF('財法所101-英文法務組'!#REF!,"AAAAAH3v/zg=",0)</f>
        <v>#REF!</v>
      </c>
      <c r="BF2" t="e">
        <f>AND('財法所101-英文法務組'!#REF!,"AAAAAH3v/zk=")</f>
        <v>#REF!</v>
      </c>
      <c r="BG2" t="e">
        <f>AND('財法所101-英文法務組'!#REF!,"AAAAAH3v/zo=")</f>
        <v>#REF!</v>
      </c>
      <c r="BH2" t="e">
        <f>AND('財法所101-英文法務組'!#REF!,"AAAAAH3v/zs=")</f>
        <v>#REF!</v>
      </c>
      <c r="BI2" t="e">
        <f>AND('財法所101-英文法務組'!#REF!,"AAAAAH3v/zw=")</f>
        <v>#REF!</v>
      </c>
      <c r="BJ2" t="e">
        <f>AND('財法所101-英文法務組'!#REF!,"AAAAAH3v/z0=")</f>
        <v>#REF!</v>
      </c>
      <c r="BK2" t="e">
        <f>AND('財法所101-英文法務組'!#REF!,"AAAAAH3v/z4=")</f>
        <v>#REF!</v>
      </c>
      <c r="BL2" t="e">
        <f>AND('財法所101-英文法務組'!#REF!,"AAAAAH3v/z8=")</f>
        <v>#REF!</v>
      </c>
      <c r="BM2" t="e">
        <f>AND('財法所101-英文法務組'!#REF!,"AAAAAH3v/0A=")</f>
        <v>#REF!</v>
      </c>
      <c r="BN2" t="e">
        <f>AND('財法所101-英文法務組'!#REF!,"AAAAAH3v/0E=")</f>
        <v>#REF!</v>
      </c>
      <c r="BO2" t="e">
        <f>AND('財法所101-英文法務組'!#REF!,"AAAAAH3v/0I=")</f>
        <v>#REF!</v>
      </c>
      <c r="BP2" t="e">
        <f>AND('財法所101-英文法務組'!#REF!,"AAAAAH3v/0M=")</f>
        <v>#REF!</v>
      </c>
      <c r="BQ2">
        <f>IF('財法所101-英文法務組'!27:27,"AAAAAH3v/0Q=",0)</f>
        <v>0</v>
      </c>
      <c r="BR2" t="e">
        <f>AND('財法所101-英文法務組'!A27,"AAAAAH3v/0U=")</f>
        <v>#VALUE!</v>
      </c>
      <c r="BS2" t="e">
        <f>AND('財法所101-英文法務組'!B27,"AAAAAH3v/0Y=")</f>
        <v>#VALUE!</v>
      </c>
      <c r="BT2" t="e">
        <f>AND('財法所101-英文法務組'!C27,"AAAAAH3v/0c=")</f>
        <v>#VALUE!</v>
      </c>
      <c r="BU2" t="e">
        <f>AND('財法所101-英文法務組'!D27,"AAAAAH3v/0g=")</f>
        <v>#VALUE!</v>
      </c>
      <c r="BV2" t="e">
        <f>AND('財法所101-英文法務組'!E27,"AAAAAH3v/0k=")</f>
        <v>#VALUE!</v>
      </c>
      <c r="BW2" t="e">
        <f>AND('財法所101-英文法務組'!F27,"AAAAAH3v/0o=")</f>
        <v>#VALUE!</v>
      </c>
      <c r="BX2" t="e">
        <f>AND('財法所101-英文法務組'!G27,"AAAAAH3v/0s=")</f>
        <v>#VALUE!</v>
      </c>
      <c r="BY2" t="e">
        <f>AND('財法所101-英文法務組'!H27,"AAAAAH3v/0w=")</f>
        <v>#VALUE!</v>
      </c>
      <c r="BZ2" t="e">
        <f>AND('財法所101-英文法務組'!I27,"AAAAAH3v/00=")</f>
        <v>#VALUE!</v>
      </c>
      <c r="CA2" t="e">
        <f>AND('財法所101-英文法務組'!J27,"AAAAAH3v/04=")</f>
        <v>#VALUE!</v>
      </c>
      <c r="CB2" t="e">
        <f>AND('財法所101-英文法務組'!K27,"AAAAAH3v/08=")</f>
        <v>#VALUE!</v>
      </c>
      <c r="CC2">
        <f>IF('財法所101-英文法務組'!28:28,"AAAAAH3v/1A=",0)</f>
        <v>0</v>
      </c>
      <c r="CD2" t="e">
        <f>AND('財法所101-英文法務組'!A28,"AAAAAH3v/1E=")</f>
        <v>#VALUE!</v>
      </c>
      <c r="CE2" t="e">
        <f>AND('財法所101-英文法務組'!B28,"AAAAAH3v/1I=")</f>
        <v>#VALUE!</v>
      </c>
      <c r="CF2" t="e">
        <f>AND('財法所101-英文法務組'!C28,"AAAAAH3v/1M=")</f>
        <v>#VALUE!</v>
      </c>
      <c r="CG2" t="e">
        <f>AND('財法所101-英文法務組'!D28,"AAAAAH3v/1Q=")</f>
        <v>#VALUE!</v>
      </c>
      <c r="CH2" t="e">
        <f>AND('財法所101-英文法務組'!E28,"AAAAAH3v/1U=")</f>
        <v>#VALUE!</v>
      </c>
      <c r="CI2" t="e">
        <f>AND('財法所101-英文法務組'!F28,"AAAAAH3v/1Y=")</f>
        <v>#VALUE!</v>
      </c>
      <c r="CJ2" t="e">
        <f>AND('財法所101-英文法務組'!G28,"AAAAAH3v/1c=")</f>
        <v>#VALUE!</v>
      </c>
      <c r="CK2" t="e">
        <f>AND('財法所101-英文法務組'!H28,"AAAAAH3v/1g=")</f>
        <v>#VALUE!</v>
      </c>
      <c r="CL2" t="e">
        <f>AND('財法所101-英文法務組'!I28,"AAAAAH3v/1k=")</f>
        <v>#VALUE!</v>
      </c>
      <c r="CM2" t="e">
        <f>AND('財法所101-英文法務組'!J28,"AAAAAH3v/1o=")</f>
        <v>#VALUE!</v>
      </c>
      <c r="CN2" t="e">
        <f>AND('財法所101-英文法務組'!K28,"AAAAAH3v/1s=")</f>
        <v>#VALUE!</v>
      </c>
      <c r="CO2">
        <f>IF('財法所101-英文法務組'!29:29,"AAAAAH3v/1w=",0)</f>
        <v>0</v>
      </c>
      <c r="CP2" t="e">
        <f>AND('財法所101-英文法務組'!A29,"AAAAAH3v/10=")</f>
        <v>#VALUE!</v>
      </c>
      <c r="CQ2" t="e">
        <f>AND('財法所101-英文法務組'!B29,"AAAAAH3v/14=")</f>
        <v>#VALUE!</v>
      </c>
      <c r="CR2" t="e">
        <f>AND('財法所101-英文法務組'!C29,"AAAAAH3v/18=")</f>
        <v>#VALUE!</v>
      </c>
      <c r="CS2" t="e">
        <f>AND('財法所101-英文法務組'!D29,"AAAAAH3v/2A=")</f>
        <v>#VALUE!</v>
      </c>
      <c r="CT2" t="e">
        <f>AND('財法所101-英文法務組'!E29,"AAAAAH3v/2E=")</f>
        <v>#VALUE!</v>
      </c>
      <c r="CU2" t="e">
        <f>AND('財法所101-英文法務組'!F29,"AAAAAH3v/2I=")</f>
        <v>#VALUE!</v>
      </c>
      <c r="CV2" t="e">
        <f>AND('財法所101-英文法務組'!G29,"AAAAAH3v/2M=")</f>
        <v>#VALUE!</v>
      </c>
      <c r="CW2" t="e">
        <f>AND('財法所101-英文法務組'!H29,"AAAAAH3v/2Q=")</f>
        <v>#VALUE!</v>
      </c>
      <c r="CX2" t="e">
        <f>AND('財法所101-英文法務組'!I29,"AAAAAH3v/2U=")</f>
        <v>#VALUE!</v>
      </c>
      <c r="CY2" t="e">
        <f>AND('財法所101-英文法務組'!J29,"AAAAAH3v/2Y=")</f>
        <v>#VALUE!</v>
      </c>
      <c r="CZ2" t="e">
        <f>AND('財法所101-英文法務組'!K29,"AAAAAH3v/2c=")</f>
        <v>#VALUE!</v>
      </c>
      <c r="DA2">
        <f>IF('財法所101-英文法務組'!30:30,"AAAAAH3v/2g=",0)</f>
        <v>0</v>
      </c>
      <c r="DB2" t="e">
        <f>AND('財法所101-英文法務組'!A30,"AAAAAH3v/2k=")</f>
        <v>#VALUE!</v>
      </c>
      <c r="DC2" t="e">
        <f>AND('財法所101-英文法務組'!B30,"AAAAAH3v/2o=")</f>
        <v>#VALUE!</v>
      </c>
      <c r="DD2" t="e">
        <f>AND('財法所101-英文法務組'!C30,"AAAAAH3v/2s=")</f>
        <v>#VALUE!</v>
      </c>
      <c r="DE2" t="e">
        <f>AND('財法所101-英文法務組'!D30,"AAAAAH3v/2w=")</f>
        <v>#VALUE!</v>
      </c>
      <c r="DF2" t="e">
        <f>AND('財法所101-英文法務組'!E30,"AAAAAH3v/20=")</f>
        <v>#VALUE!</v>
      </c>
      <c r="DG2" t="e">
        <f>AND('財法所101-英文法務組'!F30,"AAAAAH3v/24=")</f>
        <v>#VALUE!</v>
      </c>
      <c r="DH2" t="e">
        <f>AND('財法所101-英文法務組'!G30,"AAAAAH3v/28=")</f>
        <v>#VALUE!</v>
      </c>
      <c r="DI2" t="e">
        <f>AND('財法所101-英文法務組'!H30,"AAAAAH3v/3A=")</f>
        <v>#VALUE!</v>
      </c>
      <c r="DJ2" t="e">
        <f>AND('財法所101-英文法務組'!I30,"AAAAAH3v/3E=")</f>
        <v>#VALUE!</v>
      </c>
      <c r="DK2" t="e">
        <f>AND('財法所101-英文法務組'!J30,"AAAAAH3v/3I=")</f>
        <v>#VALUE!</v>
      </c>
      <c r="DL2" t="e">
        <f>AND('財法所101-英文法務組'!K30,"AAAAAH3v/3M=")</f>
        <v>#VALUE!</v>
      </c>
      <c r="DM2">
        <f>IF('財法所101-英文法務組'!31:31,"AAAAAH3v/3Q=",0)</f>
        <v>0</v>
      </c>
      <c r="DN2" t="e">
        <f>AND('財法所101-英文法務組'!A31,"AAAAAH3v/3U=")</f>
        <v>#VALUE!</v>
      </c>
      <c r="DO2" t="e">
        <f>AND('財法所101-英文法務組'!B31,"AAAAAH3v/3Y=")</f>
        <v>#VALUE!</v>
      </c>
      <c r="DP2" t="e">
        <f>AND('財法所101-英文法務組'!C31,"AAAAAH3v/3c=")</f>
        <v>#VALUE!</v>
      </c>
      <c r="DQ2" t="e">
        <f>AND('財法所101-英文法務組'!D31,"AAAAAH3v/3g=")</f>
        <v>#VALUE!</v>
      </c>
      <c r="DR2" t="e">
        <f>AND('財法所101-英文法務組'!E31,"AAAAAH3v/3k=")</f>
        <v>#VALUE!</v>
      </c>
      <c r="DS2" t="e">
        <f>AND('財法所101-英文法務組'!F31,"AAAAAH3v/3o=")</f>
        <v>#VALUE!</v>
      </c>
      <c r="DT2" t="e">
        <f>AND('財法所101-英文法務組'!G31,"AAAAAH3v/3s=")</f>
        <v>#VALUE!</v>
      </c>
      <c r="DU2" t="e">
        <f>AND('財法所101-英文法務組'!H31,"AAAAAH3v/3w=")</f>
        <v>#VALUE!</v>
      </c>
      <c r="DV2" t="e">
        <f>AND('財法所101-英文法務組'!I31,"AAAAAH3v/30=")</f>
        <v>#VALUE!</v>
      </c>
      <c r="DW2" t="e">
        <f>AND('財法所101-英文法務組'!J31,"AAAAAH3v/34=")</f>
        <v>#VALUE!</v>
      </c>
      <c r="DX2" t="e">
        <f>AND('財法所101-英文法務組'!K31,"AAAAAH3v/38=")</f>
        <v>#VALUE!</v>
      </c>
      <c r="DY2">
        <f>IF('財法所101-英文法務組'!32:32,"AAAAAH3v/4A=",0)</f>
        <v>0</v>
      </c>
      <c r="DZ2" t="e">
        <f>AND('財法所101-英文法務組'!A32,"AAAAAH3v/4E=")</f>
        <v>#VALUE!</v>
      </c>
      <c r="EA2" t="e">
        <f>AND('財法所101-英文法務組'!B32,"AAAAAH3v/4I=")</f>
        <v>#VALUE!</v>
      </c>
      <c r="EB2" t="e">
        <f>AND('財法所101-英文法務組'!C32,"AAAAAH3v/4M=")</f>
        <v>#VALUE!</v>
      </c>
      <c r="EC2" t="e">
        <f>AND('財法所101-英文法務組'!D32,"AAAAAH3v/4Q=")</f>
        <v>#VALUE!</v>
      </c>
      <c r="ED2" t="e">
        <f>AND('財法所101-英文法務組'!E32,"AAAAAH3v/4U=")</f>
        <v>#VALUE!</v>
      </c>
      <c r="EE2" t="e">
        <f>AND('財法所101-英文法務組'!F32,"AAAAAH3v/4Y=")</f>
        <v>#VALUE!</v>
      </c>
      <c r="EF2" t="e">
        <f>AND('財法所101-英文法務組'!G32,"AAAAAH3v/4c=")</f>
        <v>#VALUE!</v>
      </c>
      <c r="EG2" t="e">
        <f>AND('財法所101-英文法務組'!H32,"AAAAAH3v/4g=")</f>
        <v>#VALUE!</v>
      </c>
      <c r="EH2" t="e">
        <f>AND('財法所101-英文法務組'!I32,"AAAAAH3v/4k=")</f>
        <v>#VALUE!</v>
      </c>
      <c r="EI2" t="e">
        <f>AND('財法所101-英文法務組'!J32,"AAAAAH3v/4o=")</f>
        <v>#VALUE!</v>
      </c>
      <c r="EJ2" t="e">
        <f>AND('財法所101-英文法務組'!K32,"AAAAAH3v/4s=")</f>
        <v>#VALUE!</v>
      </c>
      <c r="EK2">
        <f>IF('財法所101-英文法務組'!33:33,"AAAAAH3v/4w=",0)</f>
        <v>0</v>
      </c>
      <c r="EL2" t="e">
        <f>AND('財法所101-英文法務組'!A33,"AAAAAH3v/40=")</f>
        <v>#VALUE!</v>
      </c>
      <c r="EM2" t="e">
        <f>AND('財法所101-英文法務組'!B33,"AAAAAH3v/44=")</f>
        <v>#VALUE!</v>
      </c>
      <c r="EN2" t="e">
        <f>AND('財法所101-英文法務組'!C33,"AAAAAH3v/48=")</f>
        <v>#VALUE!</v>
      </c>
      <c r="EO2" t="e">
        <f>AND('財法所101-英文法務組'!D33,"AAAAAH3v/5A=")</f>
        <v>#VALUE!</v>
      </c>
      <c r="EP2" t="e">
        <f>AND('財法所101-英文法務組'!E33,"AAAAAH3v/5E=")</f>
        <v>#VALUE!</v>
      </c>
      <c r="EQ2" t="e">
        <f>AND('財法所101-英文法務組'!F33,"AAAAAH3v/5I=")</f>
        <v>#VALUE!</v>
      </c>
      <c r="ER2" t="e">
        <f>AND('財法所101-英文法務組'!G33,"AAAAAH3v/5M=")</f>
        <v>#VALUE!</v>
      </c>
      <c r="ES2" t="e">
        <f>AND('財法所101-英文法務組'!H33,"AAAAAH3v/5Q=")</f>
        <v>#VALUE!</v>
      </c>
      <c r="ET2" t="e">
        <f>AND('財法所101-英文法務組'!I33,"AAAAAH3v/5U=")</f>
        <v>#VALUE!</v>
      </c>
      <c r="EU2" t="e">
        <f>AND('財法所101-英文法務組'!J33,"AAAAAH3v/5Y=")</f>
        <v>#VALUE!</v>
      </c>
      <c r="EV2" t="e">
        <f>AND('財法所101-英文法務組'!K33,"AAAAAH3v/5c=")</f>
        <v>#VALUE!</v>
      </c>
      <c r="EW2">
        <f>IF('財法所101-英文法務組'!34:34,"AAAAAH3v/5g=",0)</f>
        <v>0</v>
      </c>
      <c r="EX2" t="e">
        <f>AND('財法所101-英文法務組'!A34,"AAAAAH3v/5k=")</f>
        <v>#VALUE!</v>
      </c>
      <c r="EY2" t="e">
        <f>AND('財法所101-英文法務組'!B34,"AAAAAH3v/5o=")</f>
        <v>#VALUE!</v>
      </c>
      <c r="EZ2" t="e">
        <f>AND('財法所101-英文法務組'!C34,"AAAAAH3v/5s=")</f>
        <v>#VALUE!</v>
      </c>
      <c r="FA2" t="e">
        <f>AND('財法所101-英文法務組'!D34,"AAAAAH3v/5w=")</f>
        <v>#VALUE!</v>
      </c>
      <c r="FB2" t="e">
        <f>AND('財法所101-英文法務組'!E34,"AAAAAH3v/50=")</f>
        <v>#VALUE!</v>
      </c>
      <c r="FC2" t="e">
        <f>AND('財法所101-英文法務組'!F34,"AAAAAH3v/54=")</f>
        <v>#VALUE!</v>
      </c>
      <c r="FD2" t="e">
        <f>AND('財法所101-英文法務組'!G34,"AAAAAH3v/58=")</f>
        <v>#VALUE!</v>
      </c>
      <c r="FE2" t="e">
        <f>AND('財法所101-英文法務組'!H34,"AAAAAH3v/6A=")</f>
        <v>#VALUE!</v>
      </c>
      <c r="FF2" t="e">
        <f>AND('財法所101-英文法務組'!I34,"AAAAAH3v/6E=")</f>
        <v>#VALUE!</v>
      </c>
      <c r="FG2" t="e">
        <f>AND('財法所101-英文法務組'!J34,"AAAAAH3v/6I=")</f>
        <v>#VALUE!</v>
      </c>
      <c r="FH2" t="e">
        <f>AND('財法所101-英文法務組'!K34,"AAAAAH3v/6M=")</f>
        <v>#VALUE!</v>
      </c>
      <c r="FI2">
        <f>IF('財法所101-英文法務組'!35:35,"AAAAAH3v/6Q=",0)</f>
        <v>0</v>
      </c>
      <c r="FJ2" t="e">
        <f>AND('財法所101-英文法務組'!A35,"AAAAAH3v/6U=")</f>
        <v>#VALUE!</v>
      </c>
      <c r="FK2" t="e">
        <f>AND('財法所101-英文法務組'!B35,"AAAAAH3v/6Y=")</f>
        <v>#VALUE!</v>
      </c>
      <c r="FL2" t="e">
        <f>AND('財法所101-英文法務組'!C35,"AAAAAH3v/6c=")</f>
        <v>#VALUE!</v>
      </c>
      <c r="FM2" t="e">
        <f>AND('財法所101-英文法務組'!D35,"AAAAAH3v/6g=")</f>
        <v>#VALUE!</v>
      </c>
      <c r="FN2" t="e">
        <f>AND('財法所101-英文法務組'!E35,"AAAAAH3v/6k=")</f>
        <v>#VALUE!</v>
      </c>
      <c r="FO2" t="e">
        <f>AND('財法所101-英文法務組'!F35,"AAAAAH3v/6o=")</f>
        <v>#VALUE!</v>
      </c>
      <c r="FP2" t="e">
        <f>AND('財法所101-英文法務組'!G35,"AAAAAH3v/6s=")</f>
        <v>#VALUE!</v>
      </c>
      <c r="FQ2" t="e">
        <f>AND('財法所101-英文法務組'!H35,"AAAAAH3v/6w=")</f>
        <v>#VALUE!</v>
      </c>
      <c r="FR2" t="e">
        <f>AND('財法所101-英文法務組'!I35,"AAAAAH3v/60=")</f>
        <v>#VALUE!</v>
      </c>
      <c r="FS2" t="e">
        <f>AND('財法所101-英文法務組'!J35,"AAAAAH3v/64=")</f>
        <v>#VALUE!</v>
      </c>
      <c r="FT2" t="e">
        <f>AND('財法所101-英文法務組'!K35,"AAAAAH3v/68=")</f>
        <v>#VALUE!</v>
      </c>
      <c r="FU2">
        <f>IF('財法所101-英文法務組'!36:36,"AAAAAH3v/7A=",0)</f>
        <v>0</v>
      </c>
      <c r="FV2" t="e">
        <f>AND('財法所101-英文法務組'!A36,"AAAAAH3v/7E=")</f>
        <v>#VALUE!</v>
      </c>
      <c r="FW2" t="e">
        <f>AND('財法所101-英文法務組'!B36,"AAAAAH3v/7I=")</f>
        <v>#VALUE!</v>
      </c>
      <c r="FX2" t="e">
        <f>AND('財法所101-英文法務組'!C36,"AAAAAH3v/7M=")</f>
        <v>#VALUE!</v>
      </c>
      <c r="FY2" t="e">
        <f>AND('財法所101-英文法務組'!D36,"AAAAAH3v/7Q=")</f>
        <v>#VALUE!</v>
      </c>
      <c r="FZ2" t="e">
        <f>AND('財法所101-英文法務組'!E36,"AAAAAH3v/7U=")</f>
        <v>#VALUE!</v>
      </c>
      <c r="GA2" t="e">
        <f>AND('財法所101-英文法務組'!F36,"AAAAAH3v/7Y=")</f>
        <v>#VALUE!</v>
      </c>
      <c r="GB2" t="e">
        <f>AND('財法所101-英文法務組'!G36,"AAAAAH3v/7c=")</f>
        <v>#VALUE!</v>
      </c>
      <c r="GC2" t="e">
        <f>AND('財法所101-英文法務組'!H36,"AAAAAH3v/7g=")</f>
        <v>#VALUE!</v>
      </c>
      <c r="GD2" t="e">
        <f>AND('財法所101-英文法務組'!I36,"AAAAAH3v/7k=")</f>
        <v>#VALUE!</v>
      </c>
      <c r="GE2" t="e">
        <f>AND('財法所101-英文法務組'!J36,"AAAAAH3v/7o=")</f>
        <v>#VALUE!</v>
      </c>
      <c r="GF2" t="e">
        <f>AND('財法所101-英文法務組'!K36,"AAAAAH3v/7s=")</f>
        <v>#VALUE!</v>
      </c>
      <c r="GG2">
        <f>IF('財法所101-英文法務組'!37:37,"AAAAAH3v/7w=",0)</f>
        <v>0</v>
      </c>
      <c r="GH2" t="e">
        <f>AND('財法所101-英文法務組'!A37,"AAAAAH3v/70=")</f>
        <v>#VALUE!</v>
      </c>
      <c r="GI2" t="e">
        <f>AND('財法所101-英文法務組'!B37,"AAAAAH3v/74=")</f>
        <v>#VALUE!</v>
      </c>
      <c r="GJ2" t="e">
        <f>AND('財法所101-英文法務組'!C37,"AAAAAH3v/78=")</f>
        <v>#VALUE!</v>
      </c>
      <c r="GK2" t="e">
        <f>AND('財法所101-英文法務組'!D37,"AAAAAH3v/8A=")</f>
        <v>#VALUE!</v>
      </c>
      <c r="GL2" t="e">
        <f>AND('財法所101-英文法務組'!E37,"AAAAAH3v/8E=")</f>
        <v>#VALUE!</v>
      </c>
      <c r="GM2" t="e">
        <f>AND('財法所101-英文法務組'!F37,"AAAAAH3v/8I=")</f>
        <v>#VALUE!</v>
      </c>
      <c r="GN2" t="e">
        <f>AND('財法所101-英文法務組'!G37,"AAAAAH3v/8M=")</f>
        <v>#VALUE!</v>
      </c>
      <c r="GO2" t="e">
        <f>AND('財法所101-英文法務組'!H37,"AAAAAH3v/8Q=")</f>
        <v>#VALUE!</v>
      </c>
      <c r="GP2" t="e">
        <f>AND('財法所101-英文法務組'!I37,"AAAAAH3v/8U=")</f>
        <v>#VALUE!</v>
      </c>
      <c r="GQ2" t="e">
        <f>AND('財法所101-英文法務組'!J37,"AAAAAH3v/8Y=")</f>
        <v>#VALUE!</v>
      </c>
      <c r="GR2" t="e">
        <f>AND('財法所101-英文法務組'!K37,"AAAAAH3v/8c=")</f>
        <v>#VALUE!</v>
      </c>
      <c r="GS2">
        <f>IF('財法所101-英文法務組'!38:38,"AAAAAH3v/8g=",0)</f>
        <v>0</v>
      </c>
      <c r="GT2" t="e">
        <f>AND('財法所101-英文法務組'!A38,"AAAAAH3v/8k=")</f>
        <v>#VALUE!</v>
      </c>
      <c r="GU2" t="e">
        <f>AND('財法所101-英文法務組'!B38,"AAAAAH3v/8o=")</f>
        <v>#VALUE!</v>
      </c>
      <c r="GV2" t="e">
        <f>AND('財法所101-英文法務組'!C38,"AAAAAH3v/8s=")</f>
        <v>#VALUE!</v>
      </c>
      <c r="GW2" t="e">
        <f>AND('財法所101-英文法務組'!D38,"AAAAAH3v/8w=")</f>
        <v>#VALUE!</v>
      </c>
      <c r="GX2" t="e">
        <f>AND('財法所101-英文法務組'!E38,"AAAAAH3v/80=")</f>
        <v>#VALUE!</v>
      </c>
      <c r="GY2" t="e">
        <f>AND('財法所101-英文法務組'!F38,"AAAAAH3v/84=")</f>
        <v>#VALUE!</v>
      </c>
      <c r="GZ2" t="e">
        <f>AND('財法所101-英文法務組'!G38,"AAAAAH3v/88=")</f>
        <v>#VALUE!</v>
      </c>
      <c r="HA2" t="e">
        <f>AND('財法所101-英文法務組'!H38,"AAAAAH3v/9A=")</f>
        <v>#VALUE!</v>
      </c>
      <c r="HB2" t="e">
        <f>AND('財法所101-英文法務組'!I38,"AAAAAH3v/9E=")</f>
        <v>#VALUE!</v>
      </c>
      <c r="HC2" t="e">
        <f>AND('財法所101-英文法務組'!J38,"AAAAAH3v/9I=")</f>
        <v>#VALUE!</v>
      </c>
      <c r="HD2" t="e">
        <f>AND('財法所101-英文法務組'!K38,"AAAAAH3v/9M=")</f>
        <v>#VALUE!</v>
      </c>
      <c r="HE2" t="e">
        <f>IF('財法所101-英文法務組'!#REF!,"AAAAAH3v/9Q=",0)</f>
        <v>#REF!</v>
      </c>
      <c r="HF2" t="e">
        <f>AND('財法所101-英文法務組'!#REF!,"AAAAAH3v/9U=")</f>
        <v>#REF!</v>
      </c>
      <c r="HG2" t="e">
        <f>AND('財法所101-英文法務組'!#REF!,"AAAAAH3v/9Y=")</f>
        <v>#REF!</v>
      </c>
      <c r="HH2" t="e">
        <f>AND('財法所101-英文法務組'!#REF!,"AAAAAH3v/9c=")</f>
        <v>#REF!</v>
      </c>
      <c r="HI2" t="e">
        <f>AND('財法所101-英文法務組'!#REF!,"AAAAAH3v/9g=")</f>
        <v>#REF!</v>
      </c>
      <c r="HJ2" t="e">
        <f>AND('財法所101-英文法務組'!#REF!,"AAAAAH3v/9k=")</f>
        <v>#REF!</v>
      </c>
      <c r="HK2" t="e">
        <f>AND('財法所101-英文法務組'!#REF!,"AAAAAH3v/9o=")</f>
        <v>#REF!</v>
      </c>
      <c r="HL2" t="e">
        <f>AND('財法所101-英文法務組'!#REF!,"AAAAAH3v/9s=")</f>
        <v>#REF!</v>
      </c>
      <c r="HM2" t="e">
        <f>AND('財法所101-英文法務組'!#REF!,"AAAAAH3v/9w=")</f>
        <v>#REF!</v>
      </c>
      <c r="HN2" t="e">
        <f>AND('財法所101-英文法務組'!#REF!,"AAAAAH3v/90=")</f>
        <v>#REF!</v>
      </c>
      <c r="HO2" t="e">
        <f>AND('財法所101-英文法務組'!#REF!,"AAAAAH3v/94=")</f>
        <v>#REF!</v>
      </c>
      <c r="HP2" t="e">
        <f>AND('財法所101-英文法務組'!#REF!,"AAAAAH3v/98=")</f>
        <v>#REF!</v>
      </c>
      <c r="HQ2">
        <f>IF('財法所101-英文法務組'!39:39,"AAAAAH3v/+A=",0)</f>
        <v>0</v>
      </c>
      <c r="HR2" t="e">
        <f>AND('財法所101-英文法務組'!A39,"AAAAAH3v/+E=")</f>
        <v>#VALUE!</v>
      </c>
      <c r="HS2" t="e">
        <f>AND('財法所101-英文法務組'!B39,"AAAAAH3v/+I=")</f>
        <v>#VALUE!</v>
      </c>
      <c r="HT2" t="e">
        <f>AND('財法所101-英文法務組'!C39,"AAAAAH3v/+M=")</f>
        <v>#VALUE!</v>
      </c>
      <c r="HU2" t="e">
        <f>AND('財法所101-英文法務組'!D39,"AAAAAH3v/+Q=")</f>
        <v>#VALUE!</v>
      </c>
      <c r="HV2" t="e">
        <f>AND('財法所101-英文法務組'!E39,"AAAAAH3v/+U=")</f>
        <v>#VALUE!</v>
      </c>
      <c r="HW2" t="e">
        <f>AND('財法所101-英文法務組'!F39,"AAAAAH3v/+Y=")</f>
        <v>#VALUE!</v>
      </c>
      <c r="HX2" t="e">
        <f>AND('財法所101-英文法務組'!G39,"AAAAAH3v/+c=")</f>
        <v>#VALUE!</v>
      </c>
      <c r="HY2" t="e">
        <f>AND('財法所101-英文法務組'!H39,"AAAAAH3v/+g=")</f>
        <v>#VALUE!</v>
      </c>
      <c r="HZ2" t="e">
        <f>AND('財法所101-英文法務組'!I39,"AAAAAH3v/+k=")</f>
        <v>#VALUE!</v>
      </c>
      <c r="IA2" t="e">
        <f>AND('財法所101-英文法務組'!J39,"AAAAAH3v/+o=")</f>
        <v>#VALUE!</v>
      </c>
      <c r="IB2" t="e">
        <f>AND('財法所101-英文法務組'!K39,"AAAAAH3v/+s=")</f>
        <v>#VALUE!</v>
      </c>
      <c r="IC2">
        <f>IF('財法所101-英文法務組'!40:40,"AAAAAH3v/+w=",0)</f>
        <v>0</v>
      </c>
      <c r="ID2" t="e">
        <f>AND('財法所101-英文法務組'!A40,"AAAAAH3v/+0=")</f>
        <v>#VALUE!</v>
      </c>
      <c r="IE2" t="e">
        <f>AND('財法所101-英文法務組'!B40,"AAAAAH3v/+4=")</f>
        <v>#VALUE!</v>
      </c>
      <c r="IF2" t="e">
        <f>AND('財法所101-英文法務組'!C40,"AAAAAH3v/+8=")</f>
        <v>#VALUE!</v>
      </c>
      <c r="IG2" t="e">
        <f>AND('財法所101-英文法務組'!D40,"AAAAAH3v//A=")</f>
        <v>#VALUE!</v>
      </c>
      <c r="IH2" t="e">
        <f>AND('財法所101-英文法務組'!E40,"AAAAAH3v//E=")</f>
        <v>#VALUE!</v>
      </c>
      <c r="II2" t="e">
        <f>AND('財法所101-英文法務組'!F40,"AAAAAH3v//I=")</f>
        <v>#VALUE!</v>
      </c>
      <c r="IJ2" t="e">
        <f>AND('財法所101-英文法務組'!G40,"AAAAAH3v//M=")</f>
        <v>#VALUE!</v>
      </c>
      <c r="IK2" t="e">
        <f>AND('財法所101-英文法務組'!H40,"AAAAAH3v//Q=")</f>
        <v>#VALUE!</v>
      </c>
      <c r="IL2" t="e">
        <f>AND('財法所101-英文法務組'!I40,"AAAAAH3v//U=")</f>
        <v>#VALUE!</v>
      </c>
      <c r="IM2" t="e">
        <f>AND('財法所101-英文法務組'!J40,"AAAAAH3v//Y=")</f>
        <v>#VALUE!</v>
      </c>
      <c r="IN2" t="e">
        <f>AND('財法所101-英文法務組'!K40,"AAAAAH3v//c=")</f>
        <v>#VALUE!</v>
      </c>
      <c r="IO2">
        <f>IF('財法所101-英文法務組'!41:41,"AAAAAH3v//g=",0)</f>
        <v>0</v>
      </c>
      <c r="IP2" t="e">
        <f>AND('財法所101-英文法務組'!A41,"AAAAAH3v//k=")</f>
        <v>#VALUE!</v>
      </c>
      <c r="IQ2" t="e">
        <f>AND('財法所101-英文法務組'!B41,"AAAAAH3v//o=")</f>
        <v>#VALUE!</v>
      </c>
      <c r="IR2" t="e">
        <f>AND('財法所101-英文法務組'!C41,"AAAAAH3v//s=")</f>
        <v>#VALUE!</v>
      </c>
      <c r="IS2" t="e">
        <f>AND('財法所101-英文法務組'!D41,"AAAAAH3v//w=")</f>
        <v>#VALUE!</v>
      </c>
      <c r="IT2" t="e">
        <f>AND('財法所101-英文法務組'!E41,"AAAAAH3v//0=")</f>
        <v>#VALUE!</v>
      </c>
      <c r="IU2" t="e">
        <f>AND('財法所101-英文法務組'!F41,"AAAAAH3v//4=")</f>
        <v>#VALUE!</v>
      </c>
      <c r="IV2" t="e">
        <f>AND('財法所101-英文法務組'!G41,"AAAAAH3v//8=")</f>
        <v>#VALUE!</v>
      </c>
    </row>
    <row r="3" spans="1:256">
      <c r="A3" t="e">
        <f>AND('財法所101-英文法務組'!H41,"AAAAAFeXnwA=")</f>
        <v>#VALUE!</v>
      </c>
      <c r="B3" t="e">
        <f>AND('財法所101-英文法務組'!I41,"AAAAAFeXnwE=")</f>
        <v>#VALUE!</v>
      </c>
      <c r="C3" t="e">
        <f>AND('財法所101-英文法務組'!J41,"AAAAAFeXnwI=")</f>
        <v>#VALUE!</v>
      </c>
      <c r="D3" t="e">
        <f>AND('財法所101-英文法務組'!K41,"AAAAAFeXnwM=")</f>
        <v>#VALUE!</v>
      </c>
      <c r="E3">
        <f>IF('財法所101-英文法務組'!42:42,"AAAAAFeXnwQ=",0)</f>
        <v>0</v>
      </c>
      <c r="F3" t="e">
        <f>AND('財法所101-英文法務組'!A42,"AAAAAFeXnwU=")</f>
        <v>#VALUE!</v>
      </c>
      <c r="G3" t="e">
        <f>AND('財法所101-英文法務組'!B42,"AAAAAFeXnwY=")</f>
        <v>#VALUE!</v>
      </c>
      <c r="H3" t="e">
        <f>AND('財法所101-英文法務組'!C42,"AAAAAFeXnwc=")</f>
        <v>#VALUE!</v>
      </c>
      <c r="I3" t="e">
        <f>AND('財法所101-英文法務組'!D42,"AAAAAFeXnwg=")</f>
        <v>#VALUE!</v>
      </c>
      <c r="J3" t="e">
        <f>AND('財法所101-英文法務組'!E42,"AAAAAFeXnwk=")</f>
        <v>#VALUE!</v>
      </c>
      <c r="K3" t="e">
        <f>AND('財法所101-英文法務組'!F42,"AAAAAFeXnwo=")</f>
        <v>#VALUE!</v>
      </c>
      <c r="L3" t="e">
        <f>AND('財法所101-英文法務組'!G42,"AAAAAFeXnws=")</f>
        <v>#VALUE!</v>
      </c>
      <c r="M3" t="e">
        <f>AND('財法所101-英文法務組'!H42,"AAAAAFeXnww=")</f>
        <v>#VALUE!</v>
      </c>
      <c r="N3" t="e">
        <f>AND('財法所101-英文法務組'!I42,"AAAAAFeXnw0=")</f>
        <v>#VALUE!</v>
      </c>
      <c r="O3" t="e">
        <f>AND('財法所101-英文法務組'!J42,"AAAAAFeXnw4=")</f>
        <v>#VALUE!</v>
      </c>
      <c r="P3" t="e">
        <f>AND('財法所101-英文法務組'!K42,"AAAAAFeXnw8=")</f>
        <v>#VALUE!</v>
      </c>
      <c r="Q3">
        <f>IF('財法所101-英文法務組'!43:43,"AAAAAFeXnxA=",0)</f>
        <v>0</v>
      </c>
      <c r="R3" t="e">
        <f>AND('財法所101-英文法務組'!A43,"AAAAAFeXnxE=")</f>
        <v>#VALUE!</v>
      </c>
      <c r="S3" t="e">
        <f>AND('財法所101-英文法務組'!B43,"AAAAAFeXnxI=")</f>
        <v>#VALUE!</v>
      </c>
      <c r="T3" t="e">
        <f>AND('財法所101-英文法務組'!C43,"AAAAAFeXnxM=")</f>
        <v>#VALUE!</v>
      </c>
      <c r="U3" t="e">
        <f>AND('財法所101-英文法務組'!D43,"AAAAAFeXnxQ=")</f>
        <v>#VALUE!</v>
      </c>
      <c r="V3" t="e">
        <f>AND('財法所101-英文法務組'!E43,"AAAAAFeXnxU=")</f>
        <v>#VALUE!</v>
      </c>
      <c r="W3" t="e">
        <f>AND('財法所101-英文法務組'!F43,"AAAAAFeXnxY=")</f>
        <v>#VALUE!</v>
      </c>
      <c r="X3" t="e">
        <f>AND('財法所101-英文法務組'!G43,"AAAAAFeXnxc=")</f>
        <v>#VALUE!</v>
      </c>
      <c r="Y3" t="e">
        <f>AND('財法所101-英文法務組'!H43,"AAAAAFeXnxg=")</f>
        <v>#VALUE!</v>
      </c>
      <c r="Z3" t="e">
        <f>AND('財法所101-英文法務組'!I43,"AAAAAFeXnxk=")</f>
        <v>#VALUE!</v>
      </c>
      <c r="AA3" t="e">
        <f>AND('財法所101-英文法務組'!J43,"AAAAAFeXnxo=")</f>
        <v>#VALUE!</v>
      </c>
      <c r="AB3" t="e">
        <f>AND('財法所101-英文法務組'!K43,"AAAAAFeXnxs=")</f>
        <v>#VALUE!</v>
      </c>
      <c r="AC3">
        <f>IF('財法所101-英文法務組'!44:44,"AAAAAFeXnxw=",0)</f>
        <v>0</v>
      </c>
      <c r="AD3" t="e">
        <f>AND('財法所101-英文法務組'!A44,"AAAAAFeXnx0=")</f>
        <v>#VALUE!</v>
      </c>
      <c r="AE3" t="e">
        <f>AND('財法所101-英文法務組'!B44,"AAAAAFeXnx4=")</f>
        <v>#VALUE!</v>
      </c>
      <c r="AF3" t="e">
        <f>AND('財法所101-英文法務組'!C44,"AAAAAFeXnx8=")</f>
        <v>#VALUE!</v>
      </c>
      <c r="AG3" t="e">
        <f>AND('財法所101-英文法務組'!D44,"AAAAAFeXnyA=")</f>
        <v>#VALUE!</v>
      </c>
      <c r="AH3" t="e">
        <f>AND('財法所101-英文法務組'!E44,"AAAAAFeXnyE=")</f>
        <v>#VALUE!</v>
      </c>
      <c r="AI3" t="e">
        <f>AND('財法所101-英文法務組'!F44,"AAAAAFeXnyI=")</f>
        <v>#VALUE!</v>
      </c>
      <c r="AJ3" t="e">
        <f>AND('財法所101-英文法務組'!G44,"AAAAAFeXnyM=")</f>
        <v>#VALUE!</v>
      </c>
      <c r="AK3" t="e">
        <f>AND('財法所101-英文法務組'!H44,"AAAAAFeXnyQ=")</f>
        <v>#VALUE!</v>
      </c>
      <c r="AL3" t="e">
        <f>AND('財法所101-英文法務組'!I44,"AAAAAFeXnyU=")</f>
        <v>#VALUE!</v>
      </c>
      <c r="AM3" t="e">
        <f>AND('財法所101-英文法務組'!J44,"AAAAAFeXnyY=")</f>
        <v>#VALUE!</v>
      </c>
      <c r="AN3" t="e">
        <f>AND('財法所101-英文法務組'!K44,"AAAAAFeXnyc=")</f>
        <v>#VALUE!</v>
      </c>
      <c r="AO3">
        <f>IF('財法所101-英文法務組'!45:45,"AAAAAFeXnyg=",0)</f>
        <v>0</v>
      </c>
      <c r="AP3" t="e">
        <f>AND('財法所101-英文法務組'!A45,"AAAAAFeXnyk=")</f>
        <v>#VALUE!</v>
      </c>
      <c r="AQ3" t="e">
        <f>AND('財法所101-英文法務組'!B45,"AAAAAFeXnyo=")</f>
        <v>#VALUE!</v>
      </c>
      <c r="AR3" t="e">
        <f>AND('財法所101-英文法務組'!C45,"AAAAAFeXnys=")</f>
        <v>#VALUE!</v>
      </c>
      <c r="AS3" t="e">
        <f>AND('財法所101-英文法務組'!D45,"AAAAAFeXnyw=")</f>
        <v>#VALUE!</v>
      </c>
      <c r="AT3" t="e">
        <f>AND('財法所101-英文法務組'!E45,"AAAAAFeXny0=")</f>
        <v>#VALUE!</v>
      </c>
      <c r="AU3" t="e">
        <f>AND('財法所101-英文法務組'!F45,"AAAAAFeXny4=")</f>
        <v>#VALUE!</v>
      </c>
      <c r="AV3" t="e">
        <f>AND('財法所101-英文法務組'!G45,"AAAAAFeXny8=")</f>
        <v>#VALUE!</v>
      </c>
      <c r="AW3" t="e">
        <f>AND('財法所101-英文法務組'!H45,"AAAAAFeXnzA=")</f>
        <v>#VALUE!</v>
      </c>
      <c r="AX3" t="e">
        <f>AND('財法所101-英文法務組'!I45,"AAAAAFeXnzE=")</f>
        <v>#VALUE!</v>
      </c>
      <c r="AY3" t="e">
        <f>AND('財法所101-英文法務組'!J45,"AAAAAFeXnzI=")</f>
        <v>#VALUE!</v>
      </c>
      <c r="AZ3" t="e">
        <f>AND('財法所101-英文法務組'!K45,"AAAAAFeXnzM=")</f>
        <v>#VALUE!</v>
      </c>
      <c r="BA3">
        <f>IF('財法所101-英文法務組'!46:46,"AAAAAFeXnzQ=",0)</f>
        <v>0</v>
      </c>
      <c r="BB3" t="e">
        <f>AND('財法所101-英文法務組'!A46,"AAAAAFeXnzU=")</f>
        <v>#VALUE!</v>
      </c>
      <c r="BC3" t="e">
        <f>AND('財法所101-英文法務組'!B46,"AAAAAFeXnzY=")</f>
        <v>#VALUE!</v>
      </c>
      <c r="BD3" t="e">
        <f>AND('財法所101-英文法務組'!C46,"AAAAAFeXnzc=")</f>
        <v>#VALUE!</v>
      </c>
      <c r="BE3" t="e">
        <f>AND('財法所101-英文法務組'!D46,"AAAAAFeXnzg=")</f>
        <v>#VALUE!</v>
      </c>
      <c r="BF3" t="e">
        <f>AND('財法所101-英文法務組'!E46,"AAAAAFeXnzk=")</f>
        <v>#VALUE!</v>
      </c>
      <c r="BG3" t="e">
        <f>AND('財法所101-英文法務組'!F46,"AAAAAFeXnzo=")</f>
        <v>#VALUE!</v>
      </c>
      <c r="BH3" t="e">
        <f>AND('財法所101-英文法務組'!G46,"AAAAAFeXnzs=")</f>
        <v>#VALUE!</v>
      </c>
      <c r="BI3" t="e">
        <f>AND('財法所101-英文法務組'!H46,"AAAAAFeXnzw=")</f>
        <v>#VALUE!</v>
      </c>
      <c r="BJ3" t="e">
        <f>AND('財法所101-英文法務組'!I46,"AAAAAFeXnz0=")</f>
        <v>#VALUE!</v>
      </c>
      <c r="BK3" t="e">
        <f>AND('財法所101-英文法務組'!J46,"AAAAAFeXnz4=")</f>
        <v>#VALUE!</v>
      </c>
      <c r="BL3" t="e">
        <f>AND('財法所101-英文法務組'!K46,"AAAAAFeXnz8=")</f>
        <v>#VALUE!</v>
      </c>
      <c r="BM3">
        <f>IF('財法所101-英文法務組'!47:47,"AAAAAFeXn0A=",0)</f>
        <v>0</v>
      </c>
      <c r="BN3" t="e">
        <f>AND('財法所101-英文法務組'!A47,"AAAAAFeXn0E=")</f>
        <v>#VALUE!</v>
      </c>
      <c r="BO3" t="e">
        <f>AND('財法所101-英文法務組'!B47,"AAAAAFeXn0I=")</f>
        <v>#VALUE!</v>
      </c>
      <c r="BP3" t="e">
        <f>AND('財法所101-英文法務組'!C47,"AAAAAFeXn0M=")</f>
        <v>#VALUE!</v>
      </c>
      <c r="BQ3" t="e">
        <f>AND('財法所101-英文法務組'!D47,"AAAAAFeXn0Q=")</f>
        <v>#VALUE!</v>
      </c>
      <c r="BR3" t="e">
        <f>AND('財法所101-英文法務組'!E47,"AAAAAFeXn0U=")</f>
        <v>#VALUE!</v>
      </c>
      <c r="BS3" t="e">
        <f>AND('財法所101-英文法務組'!F47,"AAAAAFeXn0Y=")</f>
        <v>#VALUE!</v>
      </c>
      <c r="BT3" t="e">
        <f>AND('財法所101-英文法務組'!G47,"AAAAAFeXn0c=")</f>
        <v>#VALUE!</v>
      </c>
      <c r="BU3" t="e">
        <f>AND('財法所101-英文法務組'!H47,"AAAAAFeXn0g=")</f>
        <v>#VALUE!</v>
      </c>
      <c r="BV3" t="e">
        <f>AND('財法所101-英文法務組'!I47,"AAAAAFeXn0k=")</f>
        <v>#VALUE!</v>
      </c>
      <c r="BW3" t="e">
        <f>AND('財法所101-英文法務組'!J47,"AAAAAFeXn0o=")</f>
        <v>#VALUE!</v>
      </c>
      <c r="BX3" t="e">
        <f>AND('財法所101-英文法務組'!K47,"AAAAAFeXn0s=")</f>
        <v>#VALUE!</v>
      </c>
      <c r="BY3">
        <f>IF('財法所101-英文法務組'!48:48,"AAAAAFeXn0w=",0)</f>
        <v>0</v>
      </c>
      <c r="BZ3" t="e">
        <f>AND('財法所101-英文法務組'!A48,"AAAAAFeXn00=")</f>
        <v>#VALUE!</v>
      </c>
      <c r="CA3" t="e">
        <f>AND('財法所101-英文法務組'!B48,"AAAAAFeXn04=")</f>
        <v>#VALUE!</v>
      </c>
      <c r="CB3" t="e">
        <f>AND('財法所101-英文法務組'!C48,"AAAAAFeXn08=")</f>
        <v>#VALUE!</v>
      </c>
      <c r="CC3" t="e">
        <f>AND('財法所101-英文法務組'!D48,"AAAAAFeXn1A=")</f>
        <v>#VALUE!</v>
      </c>
      <c r="CD3" t="e">
        <f>AND('財法所101-英文法務組'!E48,"AAAAAFeXn1E=")</f>
        <v>#VALUE!</v>
      </c>
      <c r="CE3" t="e">
        <f>AND('財法所101-英文法務組'!F48,"AAAAAFeXn1I=")</f>
        <v>#VALUE!</v>
      </c>
      <c r="CF3" t="e">
        <f>AND('財法所101-英文法務組'!G48,"AAAAAFeXn1M=")</f>
        <v>#VALUE!</v>
      </c>
      <c r="CG3" t="e">
        <f>AND('財法所101-英文法務組'!H48,"AAAAAFeXn1Q=")</f>
        <v>#VALUE!</v>
      </c>
      <c r="CH3" t="e">
        <f>AND('財法所101-英文法務組'!I48,"AAAAAFeXn1U=")</f>
        <v>#VALUE!</v>
      </c>
      <c r="CI3" t="e">
        <f>AND('財法所101-英文法務組'!J48,"AAAAAFeXn1Y=")</f>
        <v>#VALUE!</v>
      </c>
      <c r="CJ3" t="e">
        <f>AND('財法所101-英文法務組'!K48,"AAAAAFeXn1c=")</f>
        <v>#VALUE!</v>
      </c>
      <c r="CK3">
        <f>IF('財法所101-英文法務組'!49:49,"AAAAAFeXn1g=",0)</f>
        <v>0</v>
      </c>
      <c r="CL3" t="e">
        <f>AND('財法所101-英文法務組'!A49,"AAAAAFeXn1k=")</f>
        <v>#VALUE!</v>
      </c>
      <c r="CM3" t="e">
        <f>AND('財法所101-英文法務組'!B49,"AAAAAFeXn1o=")</f>
        <v>#VALUE!</v>
      </c>
      <c r="CN3" t="e">
        <f>AND('財法所101-英文法務組'!C49,"AAAAAFeXn1s=")</f>
        <v>#VALUE!</v>
      </c>
      <c r="CO3" t="e">
        <f>AND('財法所101-英文法務組'!D49,"AAAAAFeXn1w=")</f>
        <v>#VALUE!</v>
      </c>
      <c r="CP3" t="e">
        <f>AND('財法所101-英文法務組'!E49,"AAAAAFeXn10=")</f>
        <v>#VALUE!</v>
      </c>
      <c r="CQ3" t="e">
        <f>AND('財法所101-英文法務組'!F49,"AAAAAFeXn14=")</f>
        <v>#VALUE!</v>
      </c>
      <c r="CR3" t="e">
        <f>AND('財法所101-英文法務組'!G49,"AAAAAFeXn18=")</f>
        <v>#VALUE!</v>
      </c>
      <c r="CS3" t="e">
        <f>AND('財法所101-英文法務組'!H49,"AAAAAFeXn2A=")</f>
        <v>#VALUE!</v>
      </c>
      <c r="CT3" t="e">
        <f>AND('財法所101-英文法務組'!I49,"AAAAAFeXn2E=")</f>
        <v>#VALUE!</v>
      </c>
      <c r="CU3" t="e">
        <f>AND('財法所101-英文法務組'!J49,"AAAAAFeXn2I=")</f>
        <v>#VALUE!</v>
      </c>
      <c r="CV3" t="e">
        <f>AND('財法所101-英文法務組'!K49,"AAAAAFeXn2M=")</f>
        <v>#VALUE!</v>
      </c>
      <c r="CW3">
        <f>IF('財法所101-英文法務組'!50:50,"AAAAAFeXn2Q=",0)</f>
        <v>0</v>
      </c>
      <c r="CX3" t="e">
        <f>AND('財法所101-英文法務組'!A50,"AAAAAFeXn2U=")</f>
        <v>#VALUE!</v>
      </c>
      <c r="CY3" t="e">
        <f>AND('財法所101-英文法務組'!B50,"AAAAAFeXn2Y=")</f>
        <v>#VALUE!</v>
      </c>
      <c r="CZ3" t="e">
        <f>AND('財法所101-英文法務組'!C50,"AAAAAFeXn2c=")</f>
        <v>#VALUE!</v>
      </c>
      <c r="DA3" t="e">
        <f>AND('財法所101-英文法務組'!D50,"AAAAAFeXn2g=")</f>
        <v>#VALUE!</v>
      </c>
      <c r="DB3" t="e">
        <f>AND('財法所101-英文法務組'!E50,"AAAAAFeXn2k=")</f>
        <v>#VALUE!</v>
      </c>
      <c r="DC3" t="e">
        <f>AND('財法所101-英文法務組'!F50,"AAAAAFeXn2o=")</f>
        <v>#VALUE!</v>
      </c>
      <c r="DD3" t="e">
        <f>AND('財法所101-英文法務組'!G50,"AAAAAFeXn2s=")</f>
        <v>#VALUE!</v>
      </c>
      <c r="DE3" t="e">
        <f>AND('財法所101-英文法務組'!H50,"AAAAAFeXn2w=")</f>
        <v>#VALUE!</v>
      </c>
      <c r="DF3" t="e">
        <f>AND('財法所101-英文法務組'!I50,"AAAAAFeXn20=")</f>
        <v>#VALUE!</v>
      </c>
      <c r="DG3" t="e">
        <f>AND('財法所101-英文法務組'!J50,"AAAAAFeXn24=")</f>
        <v>#VALUE!</v>
      </c>
      <c r="DH3" t="e">
        <f>AND('財法所101-英文法務組'!K50,"AAAAAFeXn28=")</f>
        <v>#VALUE!</v>
      </c>
      <c r="DI3">
        <f>IF('財法所101-英文法務組'!51:51,"AAAAAFeXn3A=",0)</f>
        <v>0</v>
      </c>
      <c r="DJ3" t="e">
        <f>AND('財法所101-英文法務組'!A51,"AAAAAFeXn3E=")</f>
        <v>#VALUE!</v>
      </c>
      <c r="DK3" t="e">
        <f>AND('財法所101-英文法務組'!B51,"AAAAAFeXn3I=")</f>
        <v>#VALUE!</v>
      </c>
      <c r="DL3" t="e">
        <f>AND('財法所101-英文法務組'!C51,"AAAAAFeXn3M=")</f>
        <v>#VALUE!</v>
      </c>
      <c r="DM3" t="e">
        <f>AND('財法所101-英文法務組'!D51,"AAAAAFeXn3Q=")</f>
        <v>#VALUE!</v>
      </c>
      <c r="DN3" t="e">
        <f>AND('財法所101-英文法務組'!E51,"AAAAAFeXn3U=")</f>
        <v>#VALUE!</v>
      </c>
      <c r="DO3" t="e">
        <f>AND('財法所101-英文法務組'!F51,"AAAAAFeXn3Y=")</f>
        <v>#VALUE!</v>
      </c>
      <c r="DP3" t="e">
        <f>AND('財法所101-英文法務組'!G51,"AAAAAFeXn3c=")</f>
        <v>#VALUE!</v>
      </c>
      <c r="DQ3" t="e">
        <f>AND('財法所101-英文法務組'!H51,"AAAAAFeXn3g=")</f>
        <v>#VALUE!</v>
      </c>
      <c r="DR3" t="e">
        <f>AND('財法所101-英文法務組'!I51,"AAAAAFeXn3k=")</f>
        <v>#VALUE!</v>
      </c>
      <c r="DS3" t="e">
        <f>AND('財法所101-英文法務組'!J51,"AAAAAFeXn3o=")</f>
        <v>#VALUE!</v>
      </c>
      <c r="DT3" t="e">
        <f>AND('財法所101-英文法務組'!K51,"AAAAAFeXn3s=")</f>
        <v>#VALUE!</v>
      </c>
      <c r="DU3">
        <f>IF('財法所101-英文法務組'!54:54,"AAAAAFeXn3w=",0)</f>
        <v>0</v>
      </c>
      <c r="DV3" t="e">
        <f>AND('財法所101-英文法務組'!A54,"AAAAAFeXn30=")</f>
        <v>#VALUE!</v>
      </c>
      <c r="DW3" t="e">
        <f>AND('財法所101-英文法務組'!B54,"AAAAAFeXn34=")</f>
        <v>#VALUE!</v>
      </c>
      <c r="DX3" t="e">
        <f>AND('財法所101-英文法務組'!C54,"AAAAAFeXn38=")</f>
        <v>#VALUE!</v>
      </c>
      <c r="DY3" t="e">
        <f>AND('財法所101-英文法務組'!D54,"AAAAAFeXn4A=")</f>
        <v>#VALUE!</v>
      </c>
      <c r="DZ3" t="e">
        <f>AND('財法所101-英文法務組'!E54,"AAAAAFeXn4E=")</f>
        <v>#VALUE!</v>
      </c>
      <c r="EA3" t="e">
        <f>AND('財法所101-英文法務組'!F54,"AAAAAFeXn4I=")</f>
        <v>#VALUE!</v>
      </c>
      <c r="EB3" t="e">
        <f>AND('財法所101-英文法務組'!G54,"AAAAAFeXn4M=")</f>
        <v>#VALUE!</v>
      </c>
      <c r="EC3" t="e">
        <f>AND('財法所101-英文法務組'!H54,"AAAAAFeXn4Q=")</f>
        <v>#VALUE!</v>
      </c>
      <c r="ED3" t="e">
        <f>AND('財法所101-英文法務組'!I54,"AAAAAFeXn4U=")</f>
        <v>#VALUE!</v>
      </c>
      <c r="EE3" t="e">
        <f>AND('財法所101-英文法務組'!J54,"AAAAAFeXn4Y=")</f>
        <v>#VALUE!</v>
      </c>
      <c r="EF3" t="e">
        <f>AND('財法所101-英文法務組'!K54,"AAAAAFeXn4c=")</f>
        <v>#VALUE!</v>
      </c>
      <c r="EG3">
        <f>IF('財法所101-英文法務組'!55:55,"AAAAAFeXn4g=",0)</f>
        <v>0</v>
      </c>
      <c r="EH3" t="e">
        <f>AND('財法所101-英文法務組'!A55,"AAAAAFeXn4k=")</f>
        <v>#VALUE!</v>
      </c>
      <c r="EI3" t="e">
        <f>AND('財法所101-英文法務組'!B55,"AAAAAFeXn4o=")</f>
        <v>#VALUE!</v>
      </c>
      <c r="EJ3" t="e">
        <f>AND('財法所101-英文法務組'!C55,"AAAAAFeXn4s=")</f>
        <v>#VALUE!</v>
      </c>
      <c r="EK3" t="e">
        <f>AND('財法所101-英文法務組'!D55,"AAAAAFeXn4w=")</f>
        <v>#VALUE!</v>
      </c>
      <c r="EL3" t="e">
        <f>AND('財法所101-英文法務組'!E55,"AAAAAFeXn40=")</f>
        <v>#VALUE!</v>
      </c>
      <c r="EM3" t="e">
        <f>AND('財法所101-英文法務組'!F55,"AAAAAFeXn44=")</f>
        <v>#VALUE!</v>
      </c>
      <c r="EN3" t="e">
        <f>AND('財法所101-英文法務組'!G55,"AAAAAFeXn48=")</f>
        <v>#VALUE!</v>
      </c>
      <c r="EO3" t="e">
        <f>AND('財法所101-英文法務組'!H55,"AAAAAFeXn5A=")</f>
        <v>#VALUE!</v>
      </c>
      <c r="EP3" t="e">
        <f>AND('財法所101-英文法務組'!I55,"AAAAAFeXn5E=")</f>
        <v>#VALUE!</v>
      </c>
      <c r="EQ3" t="e">
        <f>AND('財法所101-英文法務組'!J55,"AAAAAFeXn5I=")</f>
        <v>#VALUE!</v>
      </c>
      <c r="ER3" t="e">
        <f>AND('財法所101-英文法務組'!K55,"AAAAAFeXn5M=")</f>
        <v>#VALUE!</v>
      </c>
      <c r="ES3">
        <f>IF('財法所101-英文法務組'!56:56,"AAAAAFeXn5Q=",0)</f>
        <v>0</v>
      </c>
      <c r="ET3" t="e">
        <f>AND('財法所101-英文法務組'!A56,"AAAAAFeXn5U=")</f>
        <v>#VALUE!</v>
      </c>
      <c r="EU3" t="e">
        <f>AND('財法所101-英文法務組'!B56,"AAAAAFeXn5Y=")</f>
        <v>#VALUE!</v>
      </c>
      <c r="EV3" t="e">
        <f>AND('財法所101-英文法務組'!C56,"AAAAAFeXn5c=")</f>
        <v>#VALUE!</v>
      </c>
      <c r="EW3" t="e">
        <f>AND('財法所101-英文法務組'!D56,"AAAAAFeXn5g=")</f>
        <v>#VALUE!</v>
      </c>
      <c r="EX3" t="e">
        <f>AND('財法所101-英文法務組'!E56,"AAAAAFeXn5k=")</f>
        <v>#VALUE!</v>
      </c>
      <c r="EY3" t="e">
        <f>AND('財法所101-英文法務組'!F56,"AAAAAFeXn5o=")</f>
        <v>#VALUE!</v>
      </c>
      <c r="EZ3" t="e">
        <f>AND('財法所101-英文法務組'!G56,"AAAAAFeXn5s=")</f>
        <v>#VALUE!</v>
      </c>
      <c r="FA3" t="e">
        <f>AND('財法所101-英文法務組'!H56,"AAAAAFeXn5w=")</f>
        <v>#VALUE!</v>
      </c>
      <c r="FB3" t="e">
        <f>AND('財法所101-英文法務組'!I56,"AAAAAFeXn50=")</f>
        <v>#VALUE!</v>
      </c>
      <c r="FC3" t="e">
        <f>AND('財法所101-英文法務組'!J56,"AAAAAFeXn54=")</f>
        <v>#VALUE!</v>
      </c>
      <c r="FD3" t="e">
        <f>AND('財法所101-英文法務組'!K56,"AAAAAFeXn58=")</f>
        <v>#VALUE!</v>
      </c>
      <c r="FE3">
        <f>IF('財法所101-英文法務組'!57:57,"AAAAAFeXn6A=",0)</f>
        <v>0</v>
      </c>
      <c r="FF3" t="e">
        <f>AND('財法所101-英文法務組'!A57,"AAAAAFeXn6E=")</f>
        <v>#VALUE!</v>
      </c>
      <c r="FG3" t="e">
        <f>AND('財法所101-英文法務組'!B57,"AAAAAFeXn6I=")</f>
        <v>#VALUE!</v>
      </c>
      <c r="FH3" t="e">
        <f>AND('財法所101-英文法務組'!C57,"AAAAAFeXn6M=")</f>
        <v>#VALUE!</v>
      </c>
      <c r="FI3" t="e">
        <f>AND('財法所101-英文法務組'!D57,"AAAAAFeXn6Q=")</f>
        <v>#VALUE!</v>
      </c>
      <c r="FJ3" t="e">
        <f>AND('財法所101-英文法務組'!E57,"AAAAAFeXn6U=")</f>
        <v>#VALUE!</v>
      </c>
      <c r="FK3" t="e">
        <f>AND('財法所101-英文法務組'!F57,"AAAAAFeXn6Y=")</f>
        <v>#VALUE!</v>
      </c>
      <c r="FL3" t="e">
        <f>AND('財法所101-英文法務組'!G57,"AAAAAFeXn6c=")</f>
        <v>#VALUE!</v>
      </c>
      <c r="FM3" t="e">
        <f>AND('財法所101-英文法務組'!H57,"AAAAAFeXn6g=")</f>
        <v>#VALUE!</v>
      </c>
      <c r="FN3" t="e">
        <f>AND('財法所101-英文法務組'!I57,"AAAAAFeXn6k=")</f>
        <v>#VALUE!</v>
      </c>
      <c r="FO3" t="e">
        <f>AND('財法所101-英文法務組'!J57,"AAAAAFeXn6o=")</f>
        <v>#VALUE!</v>
      </c>
      <c r="FP3" t="e">
        <f>AND('財法所101-英文法務組'!K57,"AAAAAFeXn6s=")</f>
        <v>#VALUE!</v>
      </c>
      <c r="FQ3">
        <f>IF('財法所101-英文法務組'!59:59,"AAAAAFeXn6w=",0)</f>
        <v>0</v>
      </c>
      <c r="FR3" t="e">
        <f>AND('財法所101-英文法務組'!A59,"AAAAAFeXn60=")</f>
        <v>#VALUE!</v>
      </c>
      <c r="FS3" t="e">
        <f>AND('財法所101-英文法務組'!B59,"AAAAAFeXn64=")</f>
        <v>#VALUE!</v>
      </c>
      <c r="FT3" t="e">
        <f>AND('財法所101-英文法務組'!C59,"AAAAAFeXn68=")</f>
        <v>#VALUE!</v>
      </c>
      <c r="FU3" t="e">
        <f>AND('財法所101-英文法務組'!D59,"AAAAAFeXn7A=")</f>
        <v>#VALUE!</v>
      </c>
      <c r="FV3" t="e">
        <f>AND('財法所101-英文法務組'!E59,"AAAAAFeXn7E=")</f>
        <v>#VALUE!</v>
      </c>
      <c r="FW3" t="e">
        <f>AND('財法所101-英文法務組'!F59,"AAAAAFeXn7I=")</f>
        <v>#VALUE!</v>
      </c>
      <c r="FX3" t="e">
        <f>AND('財法所101-英文法務組'!G59,"AAAAAFeXn7M=")</f>
        <v>#VALUE!</v>
      </c>
      <c r="FY3" t="e">
        <f>AND('財法所101-英文法務組'!H59,"AAAAAFeXn7Q=")</f>
        <v>#VALUE!</v>
      </c>
      <c r="FZ3" t="e">
        <f>AND('財法所101-英文法務組'!I59,"AAAAAFeXn7U=")</f>
        <v>#VALUE!</v>
      </c>
      <c r="GA3" t="e">
        <f>AND('財法所101-英文法務組'!J59,"AAAAAFeXn7Y=")</f>
        <v>#VALUE!</v>
      </c>
      <c r="GB3" t="e">
        <f>AND('財法所101-英文法務組'!K59,"AAAAAFeXn7c=")</f>
        <v>#VALUE!</v>
      </c>
      <c r="GC3" t="e">
        <f>IF('財法所101-英文法務組'!#REF!,"AAAAAFeXn7g=",0)</f>
        <v>#REF!</v>
      </c>
      <c r="GD3" t="e">
        <f>AND('財法所101-英文法務組'!#REF!,"AAAAAFeXn7k=")</f>
        <v>#REF!</v>
      </c>
      <c r="GE3" t="e">
        <f>AND('財法所101-英文法務組'!#REF!,"AAAAAFeXn7o=")</f>
        <v>#REF!</v>
      </c>
      <c r="GF3" t="e">
        <f>AND('財法所101-英文法務組'!#REF!,"AAAAAFeXn7s=")</f>
        <v>#REF!</v>
      </c>
      <c r="GG3" t="e">
        <f>AND('財法所101-英文法務組'!#REF!,"AAAAAFeXn7w=")</f>
        <v>#REF!</v>
      </c>
      <c r="GH3" t="e">
        <f>AND('財法所101-英文法務組'!#REF!,"AAAAAFeXn70=")</f>
        <v>#REF!</v>
      </c>
      <c r="GI3" t="e">
        <f>AND('財法所101-英文法務組'!#REF!,"AAAAAFeXn74=")</f>
        <v>#REF!</v>
      </c>
      <c r="GJ3" t="e">
        <f>AND('財法所101-英文法務組'!#REF!,"AAAAAFeXn78=")</f>
        <v>#REF!</v>
      </c>
      <c r="GK3" t="e">
        <f>AND('財法所101-英文法務組'!#REF!,"AAAAAFeXn8A=")</f>
        <v>#REF!</v>
      </c>
      <c r="GL3" t="e">
        <f>AND('財法所101-英文法務組'!#REF!,"AAAAAFeXn8E=")</f>
        <v>#REF!</v>
      </c>
      <c r="GM3" t="e">
        <f>AND('財法所101-英文法務組'!#REF!,"AAAAAFeXn8I=")</f>
        <v>#REF!</v>
      </c>
      <c r="GN3" t="e">
        <f>AND('財法所101-英文法務組'!#REF!,"AAAAAFeXn8M=")</f>
        <v>#REF!</v>
      </c>
      <c r="GO3" t="e">
        <f>IF('財法所101-英文法務組'!#REF!,"AAAAAFeXn8Q=",0)</f>
        <v>#REF!</v>
      </c>
      <c r="GP3" t="e">
        <f>AND('財法所101-英文法務組'!#REF!,"AAAAAFeXn8U=")</f>
        <v>#REF!</v>
      </c>
      <c r="GQ3" t="e">
        <f>AND('財法所101-英文法務組'!#REF!,"AAAAAFeXn8Y=")</f>
        <v>#REF!</v>
      </c>
      <c r="GR3" t="e">
        <f>AND('財法所101-英文法務組'!#REF!,"AAAAAFeXn8c=")</f>
        <v>#REF!</v>
      </c>
      <c r="GS3" t="e">
        <f>AND('財法所101-英文法務組'!#REF!,"AAAAAFeXn8g=")</f>
        <v>#REF!</v>
      </c>
      <c r="GT3" t="e">
        <f>AND('財法所101-英文法務組'!#REF!,"AAAAAFeXn8k=")</f>
        <v>#REF!</v>
      </c>
      <c r="GU3" t="e">
        <f>AND('財法所101-英文法務組'!#REF!,"AAAAAFeXn8o=")</f>
        <v>#REF!</v>
      </c>
      <c r="GV3" t="e">
        <f>AND('財法所101-英文法務組'!#REF!,"AAAAAFeXn8s=")</f>
        <v>#REF!</v>
      </c>
      <c r="GW3" t="e">
        <f>AND('財法所101-英文法務組'!#REF!,"AAAAAFeXn8w=")</f>
        <v>#REF!</v>
      </c>
      <c r="GX3" t="e">
        <f>AND('財法所101-英文法務組'!#REF!,"AAAAAFeXn80=")</f>
        <v>#REF!</v>
      </c>
      <c r="GY3" t="e">
        <f>AND('財法所101-英文法務組'!#REF!,"AAAAAFeXn84=")</f>
        <v>#REF!</v>
      </c>
      <c r="GZ3" t="e">
        <f>AND('財法所101-英文法務組'!#REF!,"AAAAAFeXn88=")</f>
        <v>#REF!</v>
      </c>
      <c r="HA3">
        <f>IF('財法所101-英文法務組'!60:60,"AAAAAFeXn9A=",0)</f>
        <v>0</v>
      </c>
      <c r="HB3" t="e">
        <f>AND('財法所101-英文法務組'!A60,"AAAAAFeXn9E=")</f>
        <v>#VALUE!</v>
      </c>
      <c r="HC3" t="e">
        <f>AND('財法所101-英文法務組'!B60,"AAAAAFeXn9I=")</f>
        <v>#VALUE!</v>
      </c>
      <c r="HD3" t="e">
        <f>AND('財法所101-英文法務組'!C60,"AAAAAFeXn9M=")</f>
        <v>#VALUE!</v>
      </c>
      <c r="HE3" t="e">
        <f>AND('財法所101-英文法務組'!D60,"AAAAAFeXn9Q=")</f>
        <v>#VALUE!</v>
      </c>
      <c r="HF3" t="e">
        <f>AND('財法所101-英文法務組'!E60,"AAAAAFeXn9U=")</f>
        <v>#VALUE!</v>
      </c>
      <c r="HG3" t="e">
        <f>AND('財法所101-英文法務組'!F60,"AAAAAFeXn9Y=")</f>
        <v>#VALUE!</v>
      </c>
      <c r="HH3" t="e">
        <f>AND('財法所101-英文法務組'!G60,"AAAAAFeXn9c=")</f>
        <v>#VALUE!</v>
      </c>
      <c r="HI3" t="e">
        <f>AND('財法所101-英文法務組'!H60,"AAAAAFeXn9g=")</f>
        <v>#VALUE!</v>
      </c>
      <c r="HJ3" t="e">
        <f>AND('財法所101-英文法務組'!I60,"AAAAAFeXn9k=")</f>
        <v>#VALUE!</v>
      </c>
      <c r="HK3" t="e">
        <f>AND('財法所101-英文法務組'!J60,"AAAAAFeXn9o=")</f>
        <v>#VALUE!</v>
      </c>
      <c r="HL3" t="e">
        <f>AND('財法所101-英文法務組'!K60,"AAAAAFeXn9s=")</f>
        <v>#VALUE!</v>
      </c>
      <c r="HM3">
        <f>IF('財法所101-英文法務組'!61:61,"AAAAAFeXn9w=",0)</f>
        <v>0</v>
      </c>
      <c r="HN3" t="e">
        <f>AND('財法所101-英文法務組'!A61,"AAAAAFeXn90=")</f>
        <v>#VALUE!</v>
      </c>
      <c r="HO3" t="e">
        <f>AND('財法所101-英文法務組'!B61,"AAAAAFeXn94=")</f>
        <v>#VALUE!</v>
      </c>
      <c r="HP3" t="e">
        <f>AND('財法所101-英文法務組'!C61,"AAAAAFeXn98=")</f>
        <v>#VALUE!</v>
      </c>
      <c r="HQ3" t="e">
        <f>AND('財法所101-英文法務組'!D61,"AAAAAFeXn+A=")</f>
        <v>#VALUE!</v>
      </c>
      <c r="HR3" t="e">
        <f>AND('財法所101-英文法務組'!E61,"AAAAAFeXn+E=")</f>
        <v>#VALUE!</v>
      </c>
      <c r="HS3" t="e">
        <f>AND('財法所101-英文法務組'!F61,"AAAAAFeXn+I=")</f>
        <v>#VALUE!</v>
      </c>
      <c r="HT3" t="e">
        <f>AND('財法所101-英文法務組'!G61,"AAAAAFeXn+M=")</f>
        <v>#VALUE!</v>
      </c>
      <c r="HU3" t="e">
        <f>AND('財法所101-英文法務組'!H61,"AAAAAFeXn+Q=")</f>
        <v>#VALUE!</v>
      </c>
      <c r="HV3" t="e">
        <f>AND('財法所101-英文法務組'!I61,"AAAAAFeXn+U=")</f>
        <v>#VALUE!</v>
      </c>
      <c r="HW3" t="e">
        <f>AND('財法所101-英文法務組'!J61,"AAAAAFeXn+Y=")</f>
        <v>#VALUE!</v>
      </c>
      <c r="HX3" t="e">
        <f>AND('財法所101-英文法務組'!K61,"AAAAAFeXn+c=")</f>
        <v>#VALUE!</v>
      </c>
      <c r="HY3">
        <f>IF('財法所101-英文法務組'!52:52,"AAAAAFeXn+g=",0)</f>
        <v>0</v>
      </c>
      <c r="HZ3" t="e">
        <f>AND('財法所101-英文法務組'!A52,"AAAAAFeXn+k=")</f>
        <v>#VALUE!</v>
      </c>
      <c r="IA3" t="e">
        <f>AND('財法所101-英文法務組'!B52,"AAAAAFeXn+o=")</f>
        <v>#VALUE!</v>
      </c>
      <c r="IB3" t="e">
        <f>AND('財法所101-英文法務組'!C52,"AAAAAFeXn+s=")</f>
        <v>#VALUE!</v>
      </c>
      <c r="IC3" t="e">
        <f>AND('財法所101-英文法務組'!D52,"AAAAAFeXn+w=")</f>
        <v>#VALUE!</v>
      </c>
      <c r="ID3" t="e">
        <f>AND('財法所101-英文法務組'!E52,"AAAAAFeXn+0=")</f>
        <v>#VALUE!</v>
      </c>
      <c r="IE3" t="e">
        <f>AND('財法所101-英文法務組'!F52,"AAAAAFeXn+4=")</f>
        <v>#VALUE!</v>
      </c>
      <c r="IF3" t="e">
        <f>AND('財法所101-英文法務組'!G52,"AAAAAFeXn+8=")</f>
        <v>#VALUE!</v>
      </c>
      <c r="IG3" t="e">
        <f>AND('財法所101-英文法務組'!H52,"AAAAAFeXn/A=")</f>
        <v>#VALUE!</v>
      </c>
      <c r="IH3" t="e">
        <f>AND('財法所101-英文法務組'!I52,"AAAAAFeXn/E=")</f>
        <v>#VALUE!</v>
      </c>
      <c r="II3" t="e">
        <f>AND('財法所101-英文法務組'!J52,"AAAAAFeXn/I=")</f>
        <v>#VALUE!</v>
      </c>
      <c r="IJ3" t="e">
        <f>AND('財法所101-英文法務組'!K52,"AAAAAFeXn/M=")</f>
        <v>#VALUE!</v>
      </c>
      <c r="IK3">
        <f>IF('財法所101-英文法務組'!53:53,"AAAAAFeXn/Q=",0)</f>
        <v>0</v>
      </c>
      <c r="IL3" t="e">
        <f>AND('財法所101-英文法務組'!A53,"AAAAAFeXn/U=")</f>
        <v>#VALUE!</v>
      </c>
      <c r="IM3" t="e">
        <f>AND('財法所101-英文法務組'!B53,"AAAAAFeXn/Y=")</f>
        <v>#VALUE!</v>
      </c>
      <c r="IN3" t="e">
        <f>AND('財法所101-英文法務組'!C53,"AAAAAFeXn/c=")</f>
        <v>#VALUE!</v>
      </c>
      <c r="IO3" t="e">
        <f>AND('財法所101-英文法務組'!D53,"AAAAAFeXn/g=")</f>
        <v>#VALUE!</v>
      </c>
      <c r="IP3" t="e">
        <f>AND('財法所101-英文法務組'!E53,"AAAAAFeXn/k=")</f>
        <v>#VALUE!</v>
      </c>
      <c r="IQ3" t="e">
        <f>AND('財法所101-英文法務組'!F53,"AAAAAFeXn/o=")</f>
        <v>#VALUE!</v>
      </c>
      <c r="IR3" t="e">
        <f>AND('財法所101-英文法務組'!G53,"AAAAAFeXn/s=")</f>
        <v>#VALUE!</v>
      </c>
      <c r="IS3" t="e">
        <f>AND('財法所101-英文法務組'!H53,"AAAAAFeXn/w=")</f>
        <v>#VALUE!</v>
      </c>
      <c r="IT3" t="e">
        <f>AND('財法所101-英文法務組'!I53,"AAAAAFeXn/0=")</f>
        <v>#VALUE!</v>
      </c>
      <c r="IU3" t="e">
        <f>AND('財法所101-英文法務組'!J53,"AAAAAFeXn/4=")</f>
        <v>#VALUE!</v>
      </c>
      <c r="IV3" t="e">
        <f>AND('財法所101-英文法務組'!K53,"AAAAAFeXn/8=")</f>
        <v>#VALUE!</v>
      </c>
    </row>
    <row r="4" spans="1:256">
      <c r="A4">
        <f>IF('財法所101-英文法務組'!62:62,"AAAAABPsewA=",0)</f>
        <v>0</v>
      </c>
      <c r="B4" t="e">
        <f>AND('財法所101-英文法務組'!A62,"AAAAABPsewE=")</f>
        <v>#VALUE!</v>
      </c>
      <c r="C4" t="e">
        <f>AND('財法所101-英文法務組'!B62,"AAAAABPsewI=")</f>
        <v>#VALUE!</v>
      </c>
      <c r="D4" t="e">
        <f>AND('財法所101-英文法務組'!C62,"AAAAABPsewM=")</f>
        <v>#VALUE!</v>
      </c>
      <c r="E4" t="e">
        <f>AND('財法所101-英文法務組'!D62,"AAAAABPsewQ=")</f>
        <v>#VALUE!</v>
      </c>
      <c r="F4" t="e">
        <f>AND('財法所101-英文法務組'!E62,"AAAAABPsewU=")</f>
        <v>#VALUE!</v>
      </c>
      <c r="G4" t="e">
        <f>AND('財法所101-英文法務組'!F62,"AAAAABPsewY=")</f>
        <v>#VALUE!</v>
      </c>
      <c r="H4" t="e">
        <f>AND('財法所101-英文法務組'!G62,"AAAAABPsewc=")</f>
        <v>#VALUE!</v>
      </c>
      <c r="I4" t="e">
        <f>AND('財法所101-英文法務組'!H62,"AAAAABPsewg=")</f>
        <v>#VALUE!</v>
      </c>
      <c r="J4" t="e">
        <f>AND('財法所101-英文法務組'!I62,"AAAAABPsewk=")</f>
        <v>#VALUE!</v>
      </c>
      <c r="K4" t="e">
        <f>AND('財法所101-英文法務組'!J62,"AAAAABPsewo=")</f>
        <v>#VALUE!</v>
      </c>
      <c r="L4" t="e">
        <f>AND('財法所101-英文法務組'!K62,"AAAAABPsews=")</f>
        <v>#VALUE!</v>
      </c>
      <c r="M4">
        <f>IF('財法所101-英文法務組'!63:63,"AAAAABPseww=",0)</f>
        <v>0</v>
      </c>
      <c r="N4" t="e">
        <f>AND('財法所101-英文法務組'!A63,"AAAAABPsew0=")</f>
        <v>#VALUE!</v>
      </c>
      <c r="O4" t="e">
        <f>AND('財法所101-英文法務組'!B63,"AAAAABPsew4=")</f>
        <v>#VALUE!</v>
      </c>
      <c r="P4" t="e">
        <f>AND('財法所101-英文法務組'!C63,"AAAAABPsew8=")</f>
        <v>#VALUE!</v>
      </c>
      <c r="Q4" t="e">
        <f>AND('財法所101-英文法務組'!D63,"AAAAABPsexA=")</f>
        <v>#VALUE!</v>
      </c>
      <c r="R4" t="e">
        <f>AND('財法所101-英文法務組'!E63,"AAAAABPsexE=")</f>
        <v>#VALUE!</v>
      </c>
      <c r="S4" t="e">
        <f>AND('財法所101-英文法務組'!F63,"AAAAABPsexI=")</f>
        <v>#VALUE!</v>
      </c>
      <c r="T4" t="e">
        <f>AND('財法所101-英文法務組'!G63,"AAAAABPsexM=")</f>
        <v>#VALUE!</v>
      </c>
      <c r="U4" t="e">
        <f>AND('財法所101-英文法務組'!H63,"AAAAABPsexQ=")</f>
        <v>#VALUE!</v>
      </c>
      <c r="V4" t="e">
        <f>AND('財法所101-英文法務組'!I63,"AAAAABPsexU=")</f>
        <v>#VALUE!</v>
      </c>
      <c r="W4" t="e">
        <f>AND('財法所101-英文法務組'!J63,"AAAAABPsexY=")</f>
        <v>#VALUE!</v>
      </c>
      <c r="X4" t="e">
        <f>AND('財法所101-英文法務組'!K63,"AAAAABPsexc=")</f>
        <v>#VALUE!</v>
      </c>
      <c r="Y4">
        <f>IF('財法所101-英文法務組'!64:64,"AAAAABPsexg=",0)</f>
        <v>0</v>
      </c>
      <c r="Z4" t="e">
        <f>AND('財法所101-英文法務組'!A64,"AAAAABPsexk=")</f>
        <v>#VALUE!</v>
      </c>
      <c r="AA4" t="e">
        <f>AND('財法所101-英文法務組'!B64,"AAAAABPsexo=")</f>
        <v>#VALUE!</v>
      </c>
      <c r="AB4" t="e">
        <f>AND('財法所101-英文法務組'!C64,"AAAAABPsexs=")</f>
        <v>#VALUE!</v>
      </c>
      <c r="AC4" t="e">
        <f>AND('財法所101-英文法務組'!D64,"AAAAABPsexw=")</f>
        <v>#VALUE!</v>
      </c>
      <c r="AD4" t="e">
        <f>AND('財法所101-英文法務組'!E64,"AAAAABPsex0=")</f>
        <v>#VALUE!</v>
      </c>
      <c r="AE4" t="e">
        <f>AND('財法所101-英文法務組'!F64,"AAAAABPsex4=")</f>
        <v>#VALUE!</v>
      </c>
      <c r="AF4" t="e">
        <f>AND('財法所101-英文法務組'!G64,"AAAAABPsex8=")</f>
        <v>#VALUE!</v>
      </c>
      <c r="AG4" t="e">
        <f>AND('財法所101-英文法務組'!H64,"AAAAABPseyA=")</f>
        <v>#VALUE!</v>
      </c>
      <c r="AH4" t="e">
        <f>AND('財法所101-英文法務組'!I64,"AAAAABPseyE=")</f>
        <v>#VALUE!</v>
      </c>
      <c r="AI4" t="e">
        <f>AND('財法所101-英文法務組'!J64,"AAAAABPseyI=")</f>
        <v>#VALUE!</v>
      </c>
      <c r="AJ4" t="e">
        <f>AND('財法所101-英文法務組'!K64,"AAAAABPseyM=")</f>
        <v>#VALUE!</v>
      </c>
      <c r="AK4">
        <f>IF('財法所101-英文法務組'!66:66,"AAAAABPseyQ=",0)</f>
        <v>0</v>
      </c>
      <c r="AL4" t="e">
        <f>AND('財法所101-英文法務組'!A66,"AAAAABPseyU=")</f>
        <v>#VALUE!</v>
      </c>
      <c r="AM4" t="e">
        <f>AND('財法所101-英文法務組'!B66,"AAAAABPseyY=")</f>
        <v>#VALUE!</v>
      </c>
      <c r="AN4" t="e">
        <f>AND('財法所101-英文法務組'!C66,"AAAAABPseyc=")</f>
        <v>#VALUE!</v>
      </c>
      <c r="AO4" t="e">
        <f>AND('財法所101-英文法務組'!D66,"AAAAABPseyg=")</f>
        <v>#VALUE!</v>
      </c>
      <c r="AP4" t="e">
        <f>AND('財法所101-英文法務組'!E66,"AAAAABPseyk=")</f>
        <v>#VALUE!</v>
      </c>
      <c r="AQ4" t="e">
        <f>AND('財法所101-英文法務組'!F66,"AAAAABPseyo=")</f>
        <v>#VALUE!</v>
      </c>
      <c r="AR4" t="e">
        <f>AND('財法所101-英文法務組'!G66,"AAAAABPseys=")</f>
        <v>#VALUE!</v>
      </c>
      <c r="AS4" t="e">
        <f>AND('財法所101-英文法務組'!H66,"AAAAABPseyw=")</f>
        <v>#VALUE!</v>
      </c>
      <c r="AT4" t="e">
        <f>AND('財法所101-英文法務組'!I66,"AAAAABPsey0=")</f>
        <v>#VALUE!</v>
      </c>
      <c r="AU4" t="e">
        <f>AND('財法所101-英文法務組'!J66,"AAAAABPsey4=")</f>
        <v>#VALUE!</v>
      </c>
      <c r="AV4" t="e">
        <f>AND('財法所101-英文法務組'!K66,"AAAAABPsey8=")</f>
        <v>#VALUE!</v>
      </c>
      <c r="AW4">
        <f>IF('財法所101-英文法務組'!67:67,"AAAAABPsezA=",0)</f>
        <v>0</v>
      </c>
      <c r="AX4" t="e">
        <f>AND('財法所101-英文法務組'!A67,"AAAAABPsezE=")</f>
        <v>#VALUE!</v>
      </c>
      <c r="AY4" t="e">
        <f>AND('財法所101-英文法務組'!B67,"AAAAABPsezI=")</f>
        <v>#VALUE!</v>
      </c>
      <c r="AZ4" t="e">
        <f>AND('財法所101-英文法務組'!C67,"AAAAABPsezM=")</f>
        <v>#VALUE!</v>
      </c>
      <c r="BA4" t="e">
        <f>AND('財法所101-英文法務組'!D67,"AAAAABPsezQ=")</f>
        <v>#VALUE!</v>
      </c>
      <c r="BB4" t="e">
        <f>AND('財法所101-英文法務組'!E67,"AAAAABPsezU=")</f>
        <v>#VALUE!</v>
      </c>
      <c r="BC4" t="e">
        <f>AND('財法所101-英文法務組'!F67,"AAAAABPsezY=")</f>
        <v>#VALUE!</v>
      </c>
      <c r="BD4" t="e">
        <f>AND('財法所101-英文法務組'!G67,"AAAAABPsezc=")</f>
        <v>#VALUE!</v>
      </c>
      <c r="BE4" t="e">
        <f>AND('財法所101-英文法務組'!H67,"AAAAABPsezg=")</f>
        <v>#VALUE!</v>
      </c>
      <c r="BF4" t="e">
        <f>AND('財法所101-英文法務組'!I67,"AAAAABPsezk=")</f>
        <v>#VALUE!</v>
      </c>
      <c r="BG4" t="e">
        <f>AND('財法所101-英文法務組'!J67,"AAAAABPsezo=")</f>
        <v>#VALUE!</v>
      </c>
      <c r="BH4" t="e">
        <f>AND('財法所101-英文法務組'!K67,"AAAAABPsezs=")</f>
        <v>#VALUE!</v>
      </c>
      <c r="BI4" t="e">
        <f>IF('財法所101-英文法務組'!#REF!,"AAAAABPsezw=",0)</f>
        <v>#REF!</v>
      </c>
      <c r="BJ4" t="e">
        <f>AND('財法所101-英文法務組'!#REF!,"AAAAABPsez0=")</f>
        <v>#REF!</v>
      </c>
      <c r="BK4" t="e">
        <f>AND('財法所101-英文法務組'!#REF!,"AAAAABPsez4=")</f>
        <v>#REF!</v>
      </c>
      <c r="BL4" t="e">
        <f>AND('財法所101-英文法務組'!#REF!,"AAAAABPsez8=")</f>
        <v>#REF!</v>
      </c>
      <c r="BM4" t="e">
        <f>AND('財法所101-英文法務組'!#REF!,"AAAAABPse0A=")</f>
        <v>#REF!</v>
      </c>
      <c r="BN4" t="e">
        <f>AND('財法所101-英文法務組'!#REF!,"AAAAABPse0E=")</f>
        <v>#REF!</v>
      </c>
      <c r="BO4" t="e">
        <f>AND('財法所101-英文法務組'!#REF!,"AAAAABPse0I=")</f>
        <v>#REF!</v>
      </c>
      <c r="BP4" t="e">
        <f>AND('財法所101-英文法務組'!#REF!,"AAAAABPse0M=")</f>
        <v>#REF!</v>
      </c>
      <c r="BQ4" t="e">
        <f>AND('財法所101-英文法務組'!#REF!,"AAAAABPse0Q=")</f>
        <v>#REF!</v>
      </c>
      <c r="BR4" t="e">
        <f>AND('財法所101-英文法務組'!#REF!,"AAAAABPse0U=")</f>
        <v>#REF!</v>
      </c>
      <c r="BS4" t="e">
        <f>AND('財法所101-英文法務組'!#REF!,"AAAAABPse0Y=")</f>
        <v>#REF!</v>
      </c>
      <c r="BT4" t="e">
        <f>AND('財法所101-英文法務組'!#REF!,"AAAAABPse0c=")</f>
        <v>#REF!</v>
      </c>
      <c r="BU4">
        <f>IF('財法所101-英文法務組'!68:68,"AAAAABPse0g=",0)</f>
        <v>0</v>
      </c>
      <c r="BV4" t="e">
        <f>AND('財法所101-英文法務組'!A68,"AAAAABPse0k=")</f>
        <v>#VALUE!</v>
      </c>
      <c r="BW4" t="e">
        <f>AND('財法所101-英文法務組'!B68,"AAAAABPse0o=")</f>
        <v>#VALUE!</v>
      </c>
      <c r="BX4" t="e">
        <f>AND('財法所101-英文法務組'!C68,"AAAAABPse0s=")</f>
        <v>#VALUE!</v>
      </c>
      <c r="BY4" t="e">
        <f>AND('財法所101-英文法務組'!D68,"AAAAABPse0w=")</f>
        <v>#VALUE!</v>
      </c>
      <c r="BZ4" t="e">
        <f>AND('財法所101-英文法務組'!E68,"AAAAABPse00=")</f>
        <v>#VALUE!</v>
      </c>
      <c r="CA4" t="e">
        <f>AND('財法所101-英文法務組'!F68,"AAAAABPse04=")</f>
        <v>#VALUE!</v>
      </c>
      <c r="CB4" t="e">
        <f>AND('財法所101-英文法務組'!G68,"AAAAABPse08=")</f>
        <v>#VALUE!</v>
      </c>
      <c r="CC4" t="e">
        <f>AND('財法所101-英文法務組'!H68,"AAAAABPse1A=")</f>
        <v>#VALUE!</v>
      </c>
      <c r="CD4" t="e">
        <f>AND('財法所101-英文法務組'!I68,"AAAAABPse1E=")</f>
        <v>#VALUE!</v>
      </c>
      <c r="CE4" t="e">
        <f>AND('財法所101-英文法務組'!J68,"AAAAABPse1I=")</f>
        <v>#VALUE!</v>
      </c>
      <c r="CF4" t="e">
        <f>AND('財法所101-英文法務組'!K68,"AAAAABPse1M=")</f>
        <v>#VALUE!</v>
      </c>
      <c r="CG4">
        <f>IF('財法所101-英文法務組'!69:69,"AAAAABPse1Q=",0)</f>
        <v>0</v>
      </c>
      <c r="CH4" t="e">
        <f>AND('財法所101-英文法務組'!A69,"AAAAABPse1U=")</f>
        <v>#VALUE!</v>
      </c>
      <c r="CI4" t="e">
        <f>AND('財法所101-英文法務組'!B69,"AAAAABPse1Y=")</f>
        <v>#VALUE!</v>
      </c>
      <c r="CJ4" t="e">
        <f>AND('財法所101-英文法務組'!C69,"AAAAABPse1c=")</f>
        <v>#VALUE!</v>
      </c>
      <c r="CK4" t="e">
        <f>AND('財法所101-英文法務組'!D69,"AAAAABPse1g=")</f>
        <v>#VALUE!</v>
      </c>
      <c r="CL4" t="e">
        <f>AND('財法所101-英文法務組'!E69,"AAAAABPse1k=")</f>
        <v>#VALUE!</v>
      </c>
      <c r="CM4" t="e">
        <f>AND('財法所101-英文法務組'!F69,"AAAAABPse1o=")</f>
        <v>#VALUE!</v>
      </c>
      <c r="CN4" t="e">
        <f>AND('財法所101-英文法務組'!G69,"AAAAABPse1s=")</f>
        <v>#VALUE!</v>
      </c>
      <c r="CO4" t="e">
        <f>AND('財法所101-英文法務組'!H69,"AAAAABPse1w=")</f>
        <v>#VALUE!</v>
      </c>
      <c r="CP4" t="e">
        <f>AND('財法所101-英文法務組'!I69,"AAAAABPse10=")</f>
        <v>#VALUE!</v>
      </c>
      <c r="CQ4" t="e">
        <f>AND('財法所101-英文法務組'!J69,"AAAAABPse14=")</f>
        <v>#VALUE!</v>
      </c>
      <c r="CR4" t="e">
        <f>AND('財法所101-英文法務組'!K69,"AAAAABPse18=")</f>
        <v>#VALUE!</v>
      </c>
      <c r="CS4">
        <f>IF('財法所101-英文法務組'!70:70,"AAAAABPse2A=",0)</f>
        <v>0</v>
      </c>
      <c r="CT4" t="e">
        <f>AND('財法所101-英文法務組'!A70,"AAAAABPse2E=")</f>
        <v>#VALUE!</v>
      </c>
      <c r="CU4" t="e">
        <f>AND('財法所101-英文法務組'!B70,"AAAAABPse2I=")</f>
        <v>#VALUE!</v>
      </c>
      <c r="CV4" t="e">
        <f>AND('財法所101-英文法務組'!C70,"AAAAABPse2M=")</f>
        <v>#VALUE!</v>
      </c>
      <c r="CW4" t="e">
        <f>AND('財法所101-英文法務組'!D70,"AAAAABPse2Q=")</f>
        <v>#VALUE!</v>
      </c>
      <c r="CX4" t="e">
        <f>AND('財法所101-英文法務組'!E70,"AAAAABPse2U=")</f>
        <v>#VALUE!</v>
      </c>
      <c r="CY4" t="e">
        <f>AND('財法所101-英文法務組'!F70,"AAAAABPse2Y=")</f>
        <v>#VALUE!</v>
      </c>
      <c r="CZ4" t="e">
        <f>AND('財法所101-英文法務組'!G70,"AAAAABPse2c=")</f>
        <v>#VALUE!</v>
      </c>
      <c r="DA4" t="e">
        <f>AND('財法所101-英文法務組'!H70,"AAAAABPse2g=")</f>
        <v>#VALUE!</v>
      </c>
      <c r="DB4" t="e">
        <f>AND('財法所101-英文法務組'!I70,"AAAAABPse2k=")</f>
        <v>#VALUE!</v>
      </c>
      <c r="DC4" t="e">
        <f>AND('財法所101-英文法務組'!J70,"AAAAABPse2o=")</f>
        <v>#VALUE!</v>
      </c>
      <c r="DD4" t="e">
        <f>AND('財法所101-英文法務組'!K70,"AAAAABPse2s=")</f>
        <v>#VALUE!</v>
      </c>
      <c r="DE4">
        <f>IF('財法所101-英文法務組'!71:71,"AAAAABPse2w=",0)</f>
        <v>0</v>
      </c>
      <c r="DF4" t="e">
        <f>AND('財法所101-英文法務組'!A71,"AAAAABPse20=")</f>
        <v>#VALUE!</v>
      </c>
      <c r="DG4" t="e">
        <f>AND('財法所101-英文法務組'!B71,"AAAAABPse24=")</f>
        <v>#VALUE!</v>
      </c>
      <c r="DH4" t="e">
        <f>AND('財法所101-英文法務組'!C71,"AAAAABPse28=")</f>
        <v>#VALUE!</v>
      </c>
      <c r="DI4" t="e">
        <f>AND('財法所101-英文法務組'!D71,"AAAAABPse3A=")</f>
        <v>#VALUE!</v>
      </c>
      <c r="DJ4" t="e">
        <f>AND('財法所101-英文法務組'!E71,"AAAAABPse3E=")</f>
        <v>#VALUE!</v>
      </c>
      <c r="DK4" t="e">
        <f>AND('財法所101-英文法務組'!F71,"AAAAABPse3I=")</f>
        <v>#VALUE!</v>
      </c>
      <c r="DL4" t="e">
        <f>AND('財法所101-英文法務組'!G71,"AAAAABPse3M=")</f>
        <v>#VALUE!</v>
      </c>
      <c r="DM4" t="e">
        <f>AND('財法所101-英文法務組'!H71,"AAAAABPse3Q=")</f>
        <v>#VALUE!</v>
      </c>
      <c r="DN4" t="e">
        <f>AND('財法所101-英文法務組'!I71,"AAAAABPse3U=")</f>
        <v>#VALUE!</v>
      </c>
      <c r="DO4" t="e">
        <f>AND('財法所101-英文法務組'!J71,"AAAAABPse3Y=")</f>
        <v>#VALUE!</v>
      </c>
      <c r="DP4" t="e">
        <f>AND('財法所101-英文法務組'!K71,"AAAAABPse3c=")</f>
        <v>#VALUE!</v>
      </c>
      <c r="DQ4" t="e">
        <f>IF('財法所101-英文法務組'!#REF!,"AAAAABPse3g=",0)</f>
        <v>#REF!</v>
      </c>
      <c r="DR4" t="e">
        <f>AND('財法所101-英文法務組'!#REF!,"AAAAABPse3k=")</f>
        <v>#REF!</v>
      </c>
      <c r="DS4" t="e">
        <f>AND('財法所101-英文法務組'!#REF!,"AAAAABPse3o=")</f>
        <v>#REF!</v>
      </c>
      <c r="DT4" t="e">
        <f>AND('財法所101-英文法務組'!#REF!,"AAAAABPse3s=")</f>
        <v>#REF!</v>
      </c>
      <c r="DU4" t="e">
        <f>AND('財法所101-英文法務組'!#REF!,"AAAAABPse3w=")</f>
        <v>#REF!</v>
      </c>
      <c r="DV4" t="e">
        <f>AND('財法所101-英文法務組'!#REF!,"AAAAABPse30=")</f>
        <v>#REF!</v>
      </c>
      <c r="DW4" t="e">
        <f>AND('財法所101-英文法務組'!#REF!,"AAAAABPse34=")</f>
        <v>#REF!</v>
      </c>
      <c r="DX4" t="e">
        <f>AND('財法所101-英文法務組'!#REF!,"AAAAABPse38=")</f>
        <v>#REF!</v>
      </c>
      <c r="DY4" t="e">
        <f>AND('財法所101-英文法務組'!#REF!,"AAAAABPse4A=")</f>
        <v>#REF!</v>
      </c>
      <c r="DZ4" t="e">
        <f>AND('財法所101-英文法務組'!#REF!,"AAAAABPse4E=")</f>
        <v>#REF!</v>
      </c>
      <c r="EA4" t="e">
        <f>AND('財法所101-英文法務組'!#REF!,"AAAAABPse4I=")</f>
        <v>#REF!</v>
      </c>
      <c r="EB4" t="e">
        <f>AND('財法所101-英文法務組'!#REF!,"AAAAABPse4M=")</f>
        <v>#REF!</v>
      </c>
      <c r="EC4">
        <f>IF('財法所101-英文法務組'!72:72,"AAAAABPse4Q=",0)</f>
        <v>0</v>
      </c>
      <c r="ED4" t="e">
        <f>AND('財法所101-英文法務組'!A72,"AAAAABPse4U=")</f>
        <v>#VALUE!</v>
      </c>
      <c r="EE4" t="e">
        <f>AND('財法所101-英文法務組'!B72,"AAAAABPse4Y=")</f>
        <v>#VALUE!</v>
      </c>
      <c r="EF4" t="e">
        <f>AND('財法所101-英文法務組'!C72,"AAAAABPse4c=")</f>
        <v>#VALUE!</v>
      </c>
      <c r="EG4" t="e">
        <f>AND('財法所101-英文法務組'!D72,"AAAAABPse4g=")</f>
        <v>#VALUE!</v>
      </c>
      <c r="EH4" t="e">
        <f>AND('財法所101-英文法務組'!E72,"AAAAABPse4k=")</f>
        <v>#VALUE!</v>
      </c>
      <c r="EI4" t="e">
        <f>AND('財法所101-英文法務組'!F72,"AAAAABPse4o=")</f>
        <v>#VALUE!</v>
      </c>
      <c r="EJ4" t="e">
        <f>AND('財法所101-英文法務組'!G72,"AAAAABPse4s=")</f>
        <v>#VALUE!</v>
      </c>
      <c r="EK4" t="e">
        <f>AND('財法所101-英文法務組'!H72,"AAAAABPse4w=")</f>
        <v>#VALUE!</v>
      </c>
      <c r="EL4" t="e">
        <f>AND('財法所101-英文法務組'!I72,"AAAAABPse40=")</f>
        <v>#VALUE!</v>
      </c>
      <c r="EM4" t="e">
        <f>AND('財法所101-英文法務組'!J72,"AAAAABPse44=")</f>
        <v>#VALUE!</v>
      </c>
      <c r="EN4" t="e">
        <f>AND('財法所101-英文法務組'!K72,"AAAAABPse48=")</f>
        <v>#VALUE!</v>
      </c>
      <c r="EO4">
        <f>IF('財法所101-英文法務組'!73:73,"AAAAABPse5A=",0)</f>
        <v>0</v>
      </c>
      <c r="EP4" t="e">
        <f>AND('財法所101-英文法務組'!A73,"AAAAABPse5E=")</f>
        <v>#VALUE!</v>
      </c>
      <c r="EQ4" t="e">
        <f>AND('財法所101-英文法務組'!B73,"AAAAABPse5I=")</f>
        <v>#VALUE!</v>
      </c>
      <c r="ER4" t="e">
        <f>AND('財法所101-英文法務組'!C73,"AAAAABPse5M=")</f>
        <v>#VALUE!</v>
      </c>
      <c r="ES4" t="e">
        <f>AND('財法所101-英文法務組'!D73,"AAAAABPse5Q=")</f>
        <v>#VALUE!</v>
      </c>
      <c r="ET4" t="e">
        <f>AND('財法所101-英文法務組'!E73,"AAAAABPse5U=")</f>
        <v>#VALUE!</v>
      </c>
      <c r="EU4" t="e">
        <f>AND('財法所101-英文法務組'!F73,"AAAAABPse5Y=")</f>
        <v>#VALUE!</v>
      </c>
      <c r="EV4" t="e">
        <f>AND('財法所101-英文法務組'!G73,"AAAAABPse5c=")</f>
        <v>#VALUE!</v>
      </c>
      <c r="EW4" t="e">
        <f>AND('財法所101-英文法務組'!H73,"AAAAABPse5g=")</f>
        <v>#VALUE!</v>
      </c>
      <c r="EX4" t="e">
        <f>AND('財法所101-英文法務組'!I73,"AAAAABPse5k=")</f>
        <v>#VALUE!</v>
      </c>
      <c r="EY4" t="e">
        <f>AND('財法所101-英文法務組'!J73,"AAAAABPse5o=")</f>
        <v>#VALUE!</v>
      </c>
      <c r="EZ4" t="e">
        <f>AND('財法所101-英文法務組'!K73,"AAAAABPse5s=")</f>
        <v>#VALUE!</v>
      </c>
      <c r="FA4" t="e">
        <f>IF('財法所101-英文法務組'!#REF!,"AAAAABPse5w=",0)</f>
        <v>#REF!</v>
      </c>
      <c r="FB4" t="e">
        <f>AND('財法所101-英文法務組'!#REF!,"AAAAABPse50=")</f>
        <v>#REF!</v>
      </c>
      <c r="FC4" t="e">
        <f>AND('財法所101-英文法務組'!#REF!,"AAAAABPse54=")</f>
        <v>#REF!</v>
      </c>
      <c r="FD4" t="e">
        <f>AND('財法所101-英文法務組'!#REF!,"AAAAABPse58=")</f>
        <v>#REF!</v>
      </c>
      <c r="FE4" t="e">
        <f>AND('財法所101-英文法務組'!#REF!,"AAAAABPse6A=")</f>
        <v>#REF!</v>
      </c>
      <c r="FF4" t="e">
        <f>AND('財法所101-英文法務組'!#REF!,"AAAAABPse6E=")</f>
        <v>#REF!</v>
      </c>
      <c r="FG4" t="e">
        <f>AND('財法所101-英文法務組'!#REF!,"AAAAABPse6I=")</f>
        <v>#REF!</v>
      </c>
      <c r="FH4" t="e">
        <f>AND('財法所101-英文法務組'!#REF!,"AAAAABPse6M=")</f>
        <v>#REF!</v>
      </c>
      <c r="FI4" t="e">
        <f>AND('財法所101-英文法務組'!#REF!,"AAAAABPse6Q=")</f>
        <v>#REF!</v>
      </c>
      <c r="FJ4" t="e">
        <f>AND('財法所101-英文法務組'!#REF!,"AAAAABPse6U=")</f>
        <v>#REF!</v>
      </c>
      <c r="FK4" t="e">
        <f>AND('財法所101-英文法務組'!#REF!,"AAAAABPse6Y=")</f>
        <v>#REF!</v>
      </c>
      <c r="FL4" t="e">
        <f>AND('財法所101-英文法務組'!#REF!,"AAAAABPse6c=")</f>
        <v>#REF!</v>
      </c>
      <c r="FM4">
        <f>IF('財法所101-英文法務組'!74:74,"AAAAABPse6g=",0)</f>
        <v>0</v>
      </c>
      <c r="FN4" t="e">
        <f>AND('財法所101-英文法務組'!A74,"AAAAABPse6k=")</f>
        <v>#VALUE!</v>
      </c>
      <c r="FO4" t="e">
        <f>AND('財法所101-英文法務組'!B74,"AAAAABPse6o=")</f>
        <v>#VALUE!</v>
      </c>
      <c r="FP4" t="e">
        <f>AND('財法所101-英文法務組'!C74,"AAAAABPse6s=")</f>
        <v>#VALUE!</v>
      </c>
      <c r="FQ4" t="e">
        <f>AND('財法所101-英文法務組'!D74,"AAAAABPse6w=")</f>
        <v>#VALUE!</v>
      </c>
      <c r="FR4" t="e">
        <f>AND('財法所101-英文法務組'!E74,"AAAAABPse60=")</f>
        <v>#VALUE!</v>
      </c>
      <c r="FS4" t="e">
        <f>AND('財法所101-英文法務組'!F74,"AAAAABPse64=")</f>
        <v>#VALUE!</v>
      </c>
      <c r="FT4" t="e">
        <f>AND('財法所101-英文法務組'!G74,"AAAAABPse68=")</f>
        <v>#VALUE!</v>
      </c>
      <c r="FU4" t="e">
        <f>AND('財法所101-英文法務組'!H74,"AAAAABPse7A=")</f>
        <v>#VALUE!</v>
      </c>
      <c r="FV4" t="e">
        <f>AND('財法所101-英文法務組'!I74,"AAAAABPse7E=")</f>
        <v>#VALUE!</v>
      </c>
      <c r="FW4" t="e">
        <f>AND('財法所101-英文法務組'!J74,"AAAAABPse7I=")</f>
        <v>#VALUE!</v>
      </c>
      <c r="FX4" t="e">
        <f>AND('財法所101-英文法務組'!K74,"AAAAABPse7M=")</f>
        <v>#VALUE!</v>
      </c>
      <c r="FY4" t="e">
        <f>IF('財法所101-英文法務組'!#REF!,"AAAAABPse7Q=",0)</f>
        <v>#REF!</v>
      </c>
      <c r="FZ4" t="e">
        <f>IF('財法所101-英文法務組'!#REF!,"AAAAABPse7U=",0)</f>
        <v>#REF!</v>
      </c>
      <c r="GA4" t="e">
        <f>IF('財法所101-英文法務組'!#REF!,"AAAAABPse7Y=",0)</f>
        <v>#REF!</v>
      </c>
      <c r="GB4" t="e">
        <f>IF('財法所101-英文法務組'!A:A,"AAAAABPse7c=",0)</f>
        <v>#VALUE!</v>
      </c>
      <c r="GC4" t="e">
        <f>IF('財法所101-英文法務組'!B:B,"AAAAABPse7g=",0)</f>
        <v>#VALUE!</v>
      </c>
      <c r="GD4" t="e">
        <f>IF('財法所101-英文法務組'!C:C,"AAAAABPse7k=",0)</f>
        <v>#VALUE!</v>
      </c>
      <c r="GE4" t="e">
        <f>IF('財法所101-英文法務組'!D:D,"AAAAABPse7o=",0)</f>
        <v>#VALUE!</v>
      </c>
      <c r="GF4" t="e">
        <f>IF('財法所101-英文法務組'!E:E,"AAAAABPse7s=",0)</f>
        <v>#VALUE!</v>
      </c>
      <c r="GG4">
        <f>IF('財法所101-英文法務組'!F:F,"AAAAABPse7w=",0)</f>
        <v>0</v>
      </c>
      <c r="GH4" t="e">
        <f>IF('財法所101-英文法務組'!G:G,"AAAAABPse70=",0)</f>
        <v>#VALUE!</v>
      </c>
      <c r="GI4" t="e">
        <f>IF('財法所101-英文法務組'!H:H,"AAAAABPse74=",0)</f>
        <v>#VALUE!</v>
      </c>
      <c r="GJ4" t="e">
        <f>IF('財法所101-英文法務組'!I:I,"AAAAABPse78=",0)</f>
        <v>#VALUE!</v>
      </c>
      <c r="GK4" t="e">
        <f>IF('財法所101-英文法務組'!J:J,"AAAAABPse8A=",0)</f>
        <v>#VALUE!</v>
      </c>
      <c r="GL4" t="e">
        <f>IF('財法所101-英文法務組'!K:K,"AAAAABPse8E=",0)</f>
        <v>#VALUE!</v>
      </c>
      <c r="GM4" t="e">
        <f>IF("N",'財法所101-英文法務組'!_xlnm.Print_Titles,"AAAAABPse8I=")</f>
        <v>#VALUE!</v>
      </c>
    </row>
    <row r="5" spans="1:256">
      <c r="A5" t="e">
        <f>AND('財法所101-英文法務組'!#REF!,"AAAAAHn+vwA=")</f>
        <v>#REF!</v>
      </c>
      <c r="B5" t="e">
        <f>AND('財法所101-英文法務組'!#REF!,"AAAAAHn+vwE=")</f>
        <v>#REF!</v>
      </c>
      <c r="C5" t="e">
        <f>AND('財法所101-英文法務組'!#REF!,"AAAAAHn+vwI=")</f>
        <v>#REF!</v>
      </c>
      <c r="D5" t="e">
        <f>AND('財法所101-英文法務組'!#REF!,"AAAAAHn+vwM=")</f>
        <v>#REF!</v>
      </c>
      <c r="E5" t="e">
        <f>AND('財法所101-英文法務組'!#REF!,"AAAAAHn+vwQ=")</f>
        <v>#REF!</v>
      </c>
      <c r="F5" t="e">
        <f>AND('財法所101-英文法務組'!#REF!,"AAAAAHn+vwU=")</f>
        <v>#REF!</v>
      </c>
      <c r="G5" t="e">
        <f>AND('財法所101-英文法務組'!#REF!,"AAAAAHn+vwY=")</f>
        <v>#REF!</v>
      </c>
      <c r="H5" t="e">
        <f>AND('財法所101-英文法務組'!#REF!,"AAAAAHn+vwc=")</f>
        <v>#REF!</v>
      </c>
      <c r="I5" t="e">
        <f>AND('財法所101-英文法務組'!#REF!,"AAAAAHn+vwg=")</f>
        <v>#REF!</v>
      </c>
      <c r="J5" t="e">
        <f>AND('財法所101-英文法務組'!#REF!,"AAAAAHn+vwk=")</f>
        <v>#REF!</v>
      </c>
      <c r="K5" t="e">
        <f>AND('財法所101-英文法務組'!#REF!,"AAAAAHn+vwo=")</f>
        <v>#REF!</v>
      </c>
      <c r="L5" t="e">
        <f>AND('財法所101-英文法務組'!#REF!,"AAAAAHn+vws=")</f>
        <v>#REF!</v>
      </c>
      <c r="M5" t="e">
        <f>AND('財法所101-英文法務組'!#REF!,"AAAAAHn+vww=")</f>
        <v>#REF!</v>
      </c>
      <c r="N5" t="e">
        <f>AND('財法所101-英文法務組'!#REF!,"AAAAAHn+vw0=")</f>
        <v>#REF!</v>
      </c>
      <c r="O5" t="e">
        <f>AND('財法所101-英文法務組'!#REF!,"AAAAAHn+vw4=")</f>
        <v>#REF!</v>
      </c>
      <c r="P5" t="e">
        <f>AND('財法所101-英文法務組'!#REF!,"AAAAAHn+vw8=")</f>
        <v>#REF!</v>
      </c>
      <c r="Q5" t="e">
        <f>AND('財法所101-英文法務組'!#REF!,"AAAAAHn+vxA=")</f>
        <v>#REF!</v>
      </c>
      <c r="R5" t="e">
        <f>AND('財法所101-英文法務組'!#REF!,"AAAAAHn+vxE=")</f>
        <v>#REF!</v>
      </c>
      <c r="S5" t="e">
        <f>AND('財法所101-英文法務組'!#REF!,"AAAAAHn+vxI=")</f>
        <v>#REF!</v>
      </c>
      <c r="T5" t="e">
        <f>AND('財法所101-英文法務組'!#REF!,"AAAAAHn+vxM=")</f>
        <v>#REF!</v>
      </c>
      <c r="U5" t="e">
        <f>AND('財法所101-英文法務組'!#REF!,"AAAAAHn+vxQ=")</f>
        <v>#REF!</v>
      </c>
      <c r="V5" t="e">
        <f>AND('財法所101-英文法務組'!#REF!,"AAAAAHn+vxU=")</f>
        <v>#REF!</v>
      </c>
      <c r="W5" t="e">
        <f>AND('財法所101-英文法務組'!#REF!,"AAAAAHn+vxY=")</f>
        <v>#REF!</v>
      </c>
      <c r="X5" t="e">
        <f>AND('財法所101-英文法務組'!#REF!,"AAAAAHn+vxc=")</f>
        <v>#REF!</v>
      </c>
      <c r="Y5" t="e">
        <f>AND('財法所101-英文法務組'!#REF!,"AAAAAHn+vxg=")</f>
        <v>#REF!</v>
      </c>
      <c r="Z5" t="e">
        <f>AND('財法所101-英文法務組'!#REF!,"AAAAAHn+vxk=")</f>
        <v>#REF!</v>
      </c>
      <c r="AA5" t="e">
        <f>AND('財法所101-英文法務組'!#REF!,"AAAAAHn+vxo=")</f>
        <v>#REF!</v>
      </c>
      <c r="AB5" t="e">
        <f>AND('財法所101-英文法務組'!#REF!,"AAAAAHn+vxs=")</f>
        <v>#REF!</v>
      </c>
      <c r="AC5" t="e">
        <f>AND('財法所101-英文法務組'!#REF!,"AAAAAHn+vxw=")</f>
        <v>#REF!</v>
      </c>
      <c r="AD5" t="e">
        <f>AND('財法所101-英文法務組'!#REF!,"AAAAAHn+vx0=")</f>
        <v>#REF!</v>
      </c>
      <c r="AE5" t="e">
        <f>AND('財法所101-英文法務組'!#REF!,"AAAAAHn+vx4=")</f>
        <v>#REF!</v>
      </c>
      <c r="AF5" t="e">
        <f>AND('財法所101-英文法務組'!#REF!,"AAAAAHn+vx8=")</f>
        <v>#REF!</v>
      </c>
      <c r="AG5" t="e">
        <f>AND('財法所101-英文法務組'!#REF!,"AAAAAHn+vyA=")</f>
        <v>#REF!</v>
      </c>
      <c r="AH5" t="e">
        <f>AND('財法所101-英文法務組'!#REF!,"AAAAAHn+vyE=")</f>
        <v>#REF!</v>
      </c>
      <c r="AI5" t="e">
        <f>AND('財法所101-英文法務組'!#REF!,"AAAAAHn+vyI=")</f>
        <v>#REF!</v>
      </c>
      <c r="AJ5" t="e">
        <f>AND('財法所101-英文法務組'!#REF!,"AAAAAHn+vyM=")</f>
        <v>#REF!</v>
      </c>
      <c r="AK5" t="e">
        <f>AND('財法所101-英文法務組'!#REF!,"AAAAAHn+vyQ=")</f>
        <v>#REF!</v>
      </c>
      <c r="AL5" t="e">
        <f>AND('財法所101-英文法務組'!#REF!,"AAAAAHn+vyU=")</f>
        <v>#REF!</v>
      </c>
      <c r="AM5" t="e">
        <f>AND('財法所101-英文法務組'!#REF!,"AAAAAHn+vyY=")</f>
        <v>#REF!</v>
      </c>
      <c r="AN5" t="e">
        <f>AND('財法所101-英文法務組'!#REF!,"AAAAAHn+vyc=")</f>
        <v>#REF!</v>
      </c>
      <c r="AO5" t="e">
        <f>AND('財法所101-英文法務組'!#REF!,"AAAAAHn+vyg=")</f>
        <v>#REF!</v>
      </c>
      <c r="AP5" t="e">
        <f>AND('財法所101-英文法務組'!#REF!,"AAAAAHn+vyk=")</f>
        <v>#REF!</v>
      </c>
      <c r="AQ5" t="e">
        <f>AND('財法所101-英文法務組'!#REF!,"AAAAAHn+vyo=")</f>
        <v>#REF!</v>
      </c>
      <c r="AR5" t="e">
        <f>AND('財法所101-英文法務組'!#REF!,"AAAAAHn+vys=")</f>
        <v>#REF!</v>
      </c>
      <c r="AS5" t="e">
        <f>AND('財法所101-英文法務組'!#REF!,"AAAAAHn+vyw=")</f>
        <v>#REF!</v>
      </c>
      <c r="AT5" t="e">
        <f>AND('財法所101-英文法務組'!#REF!,"AAAAAHn+vy0=")</f>
        <v>#REF!</v>
      </c>
      <c r="AU5" t="e">
        <f>AND('財法所101-英文法務組'!#REF!,"AAAAAHn+vy4=")</f>
        <v>#REF!</v>
      </c>
      <c r="AV5" t="e">
        <f>AND('財法所101-英文法務組'!#REF!,"AAAAAHn+vy8=")</f>
        <v>#REF!</v>
      </c>
      <c r="AW5" t="e">
        <f>AND('財法所101-英文法務組'!#REF!,"AAAAAHn+vzA=")</f>
        <v>#REF!</v>
      </c>
      <c r="AX5" t="e">
        <f>AND('財法所101-英文法務組'!#REF!,"AAAAAHn+vzE=")</f>
        <v>#REF!</v>
      </c>
      <c r="AY5" t="e">
        <f>AND('財法所101-英文法務組'!#REF!,"AAAAAHn+vzI=")</f>
        <v>#REF!</v>
      </c>
      <c r="AZ5" t="e">
        <f>AND('財法所101-英文法務組'!#REF!,"AAAAAHn+vzM=")</f>
        <v>#REF!</v>
      </c>
      <c r="BA5" t="e">
        <f>AND('財法所101-英文法務組'!#REF!,"AAAAAHn+vzQ=")</f>
        <v>#REF!</v>
      </c>
      <c r="BB5" t="e">
        <f>AND('財法所101-英文法務組'!#REF!,"AAAAAHn+vzU=")</f>
        <v>#REF!</v>
      </c>
      <c r="BC5" t="e">
        <f>AND('財法所101-英文法務組'!#REF!,"AAAAAHn+vzY=")</f>
        <v>#REF!</v>
      </c>
      <c r="BD5" t="e">
        <f>AND('財法所101-英文法務組'!#REF!,"AAAAAHn+vzc=")</f>
        <v>#REF!</v>
      </c>
      <c r="BE5" t="e">
        <f>AND('財法所101-英文法務組'!#REF!,"AAAAAHn+vzg=")</f>
        <v>#REF!</v>
      </c>
      <c r="BF5" t="e">
        <f>AND('財法所101-英文法務組'!#REF!,"AAAAAHn+vzk=")</f>
        <v>#REF!</v>
      </c>
      <c r="BG5" t="e">
        <f>AND('財法所101-英文法務組'!#REF!,"AAAAAHn+vzo=")</f>
        <v>#REF!</v>
      </c>
      <c r="BH5" t="e">
        <f>AND('財法所101-英文法務組'!#REF!,"AAAAAHn+vzs=")</f>
        <v>#REF!</v>
      </c>
      <c r="BI5" t="e">
        <f>AND('財法所101-英文法務組'!#REF!,"AAAAAHn+vzw=")</f>
        <v>#REF!</v>
      </c>
      <c r="BJ5" t="e">
        <f>AND('財法所101-英文法務組'!#REF!,"AAAAAHn+vz0=")</f>
        <v>#REF!</v>
      </c>
      <c r="BK5" t="e">
        <f>AND('財法所101-英文法務組'!#REF!,"AAAAAHn+vz4=")</f>
        <v>#REF!</v>
      </c>
      <c r="BL5" t="e">
        <f>AND('財法所101-英文法務組'!#REF!,"AAAAAHn+vz8=")</f>
        <v>#REF!</v>
      </c>
      <c r="BM5" t="e">
        <f>AND('財法所101-英文法務組'!#REF!,"AAAAAHn+v0A=")</f>
        <v>#REF!</v>
      </c>
      <c r="BN5" t="e">
        <f>AND('財法所101-英文法務組'!#REF!,"AAAAAHn+v0E=")</f>
        <v>#REF!</v>
      </c>
      <c r="BO5" t="e">
        <f>AND('財法所101-英文法務組'!#REF!,"AAAAAHn+v0I=")</f>
        <v>#REF!</v>
      </c>
      <c r="BP5" t="e">
        <f>AND('財法所101-英文法務組'!#REF!,"AAAAAHn+v0M=")</f>
        <v>#REF!</v>
      </c>
      <c r="BQ5" t="e">
        <f>AND('財法所101-英文法務組'!#REF!,"AAAAAHn+v0Q=")</f>
        <v>#REF!</v>
      </c>
      <c r="BR5" t="e">
        <f>AND('財法所101-英文法務組'!#REF!,"AAAAAHn+v0U=")</f>
        <v>#REF!</v>
      </c>
      <c r="BS5" t="e">
        <f>AND('財法所101-英文法務組'!#REF!,"AAAAAHn+v0Y=")</f>
        <v>#REF!</v>
      </c>
      <c r="BT5" t="e">
        <f>AND('財法所101-英文法務組'!#REF!,"AAAAAHn+v0c=")</f>
        <v>#REF!</v>
      </c>
      <c r="BU5" t="e">
        <f>AND('財法所101-英文法務組'!#REF!,"AAAAAHn+v0g=")</f>
        <v>#REF!</v>
      </c>
      <c r="BV5" t="e">
        <f>AND('財法所101-英文法務組'!#REF!,"AAAAAHn+v0k=")</f>
        <v>#REF!</v>
      </c>
      <c r="BW5" t="e">
        <f>AND('財法所101-英文法務組'!#REF!,"AAAAAHn+v0o=")</f>
        <v>#REF!</v>
      </c>
      <c r="BX5" t="e">
        <f>AND('財法所101-英文法務組'!#REF!,"AAAAAHn+v0s=")</f>
        <v>#REF!</v>
      </c>
      <c r="BY5" t="e">
        <f>AND('財法所101-英文法務組'!#REF!,"AAAAAHn+v0w=")</f>
        <v>#REF!</v>
      </c>
      <c r="BZ5" t="e">
        <f>AND('財法所101-英文法務組'!#REF!,"AAAAAHn+v00=")</f>
        <v>#REF!</v>
      </c>
      <c r="CA5" t="e">
        <f>AND('財法所101-英文法務組'!#REF!,"AAAAAHn+v04=")</f>
        <v>#REF!</v>
      </c>
      <c r="CB5" t="e">
        <f>AND('財法所101-英文法務組'!#REF!,"AAAAAHn+v08=")</f>
        <v>#REF!</v>
      </c>
      <c r="CC5" t="e">
        <f>AND('財法所101-英文法務組'!#REF!,"AAAAAHn+v1A=")</f>
        <v>#REF!</v>
      </c>
      <c r="CD5" t="e">
        <f>AND('財法所101-英文法務組'!#REF!,"AAAAAHn+v1E=")</f>
        <v>#REF!</v>
      </c>
      <c r="CE5" t="e">
        <f>AND('財法所101-英文法務組'!#REF!,"AAAAAHn+v1I=")</f>
        <v>#REF!</v>
      </c>
      <c r="CF5" t="e">
        <f>AND('財法所101-英文法務組'!#REF!,"AAAAAHn+v1M=")</f>
        <v>#REF!</v>
      </c>
      <c r="CG5" t="e">
        <f>AND('財法所101-英文法務組'!#REF!,"AAAAAHn+v1Q=")</f>
        <v>#REF!</v>
      </c>
      <c r="CH5" t="e">
        <f>AND('財法所101-英文法務組'!#REF!,"AAAAAHn+v1U=")</f>
        <v>#REF!</v>
      </c>
      <c r="CI5" t="e">
        <f>AND('財法所101-英文法務組'!#REF!,"AAAAAHn+v1Y=")</f>
        <v>#REF!</v>
      </c>
      <c r="CJ5" t="e">
        <f>AND('財法所101-英文法務組'!#REF!,"AAAAAHn+v1c=")</f>
        <v>#REF!</v>
      </c>
      <c r="CK5" t="e">
        <f>AND('財法所101-英文法務組'!#REF!,"AAAAAHn+v1g=")</f>
        <v>#REF!</v>
      </c>
      <c r="CL5" t="e">
        <f>AND('財法所101-英文法務組'!#REF!,"AAAAAHn+v1k=")</f>
        <v>#REF!</v>
      </c>
      <c r="CM5" t="e">
        <f>AND('財法所101-英文法務組'!#REF!,"AAAAAHn+v1o=")</f>
        <v>#REF!</v>
      </c>
      <c r="CN5" t="e">
        <f>AND('財法所101-英文法務組'!#REF!,"AAAAAHn+v1s=")</f>
        <v>#REF!</v>
      </c>
      <c r="CO5" t="e">
        <f>AND('財法所101-英文法務組'!#REF!,"AAAAAHn+v1w=")</f>
        <v>#REF!</v>
      </c>
      <c r="CP5" t="e">
        <f>AND('財法所101-英文法務組'!#REF!,"AAAAAHn+v10=")</f>
        <v>#REF!</v>
      </c>
      <c r="CQ5" t="e">
        <f>AND('財法所101-英文法務組'!#REF!,"AAAAAHn+v14=")</f>
        <v>#REF!</v>
      </c>
      <c r="CR5" t="e">
        <f>AND('財法所101-英文法務組'!#REF!,"AAAAAHn+v18=")</f>
        <v>#REF!</v>
      </c>
      <c r="CS5" t="e">
        <f>AND('財法所101-英文法務組'!#REF!,"AAAAAHn+v2A=")</f>
        <v>#REF!</v>
      </c>
      <c r="CT5" t="e">
        <f>AND('財法所101-英文法務組'!#REF!,"AAAAAHn+v2E=")</f>
        <v>#REF!</v>
      </c>
      <c r="CU5" t="e">
        <f>AND('財法所101-英文法務組'!#REF!,"AAAAAHn+v2I=")</f>
        <v>#REF!</v>
      </c>
      <c r="CV5" t="e">
        <f>AND('財法所101-英文法務組'!#REF!,"AAAAAHn+v2M=")</f>
        <v>#REF!</v>
      </c>
      <c r="CW5" t="e">
        <f>AND('財法所101-英文法務組'!#REF!,"AAAAAHn+v2Q=")</f>
        <v>#REF!</v>
      </c>
      <c r="CX5" t="e">
        <f>AND('財法所101-英文法務組'!#REF!,"AAAAAHn+v2U=")</f>
        <v>#REF!</v>
      </c>
      <c r="CY5" t="e">
        <f>AND('財法所101-英文法務組'!#REF!,"AAAAAHn+v2Y=")</f>
        <v>#REF!</v>
      </c>
      <c r="CZ5" t="e">
        <f>AND('財法所101-英文法務組'!#REF!,"AAAAAHn+v2c=")</f>
        <v>#REF!</v>
      </c>
      <c r="DA5" t="e">
        <f>AND('財法所101-英文法務組'!#REF!,"AAAAAHn+v2g=")</f>
        <v>#REF!</v>
      </c>
      <c r="DB5" t="e">
        <f>AND('財法所101-英文法務組'!#REF!,"AAAAAHn+v2k=")</f>
        <v>#REF!</v>
      </c>
      <c r="DC5" t="e">
        <f>AND('財法所101-英文法務組'!#REF!,"AAAAAHn+v2o=")</f>
        <v>#REF!</v>
      </c>
      <c r="DD5" t="e">
        <f>AND('財法所101-英文法務組'!#REF!,"AAAAAHn+v2s=")</f>
        <v>#REF!</v>
      </c>
      <c r="DE5" t="e">
        <f>AND('財法所101-英文法務組'!#REF!,"AAAAAHn+v2w=")</f>
        <v>#REF!</v>
      </c>
      <c r="DF5" t="e">
        <f>AND('財法所101-英文法務組'!#REF!,"AAAAAHn+v20=")</f>
        <v>#REF!</v>
      </c>
      <c r="DG5" t="e">
        <f>AND('財法所101-英文法務組'!#REF!,"AAAAAHn+v24=")</f>
        <v>#REF!</v>
      </c>
      <c r="DH5" t="e">
        <f>AND('財法所101-英文法務組'!#REF!,"AAAAAHn+v28=")</f>
        <v>#REF!</v>
      </c>
      <c r="DI5" t="e">
        <f>AND('財法所101-英文法務組'!#REF!,"AAAAAHn+v3A=")</f>
        <v>#REF!</v>
      </c>
      <c r="DJ5" t="e">
        <f>AND('財法所101-英文法務組'!#REF!,"AAAAAHn+v3E=")</f>
        <v>#REF!</v>
      </c>
      <c r="DK5" t="e">
        <f>AND('財法所101-英文法務組'!#REF!,"AAAAAHn+v3I=")</f>
        <v>#REF!</v>
      </c>
      <c r="DL5" t="e">
        <f>AND('財法所101-英文法務組'!#REF!,"AAAAAHn+v3M=")</f>
        <v>#REF!</v>
      </c>
      <c r="DM5" t="e">
        <f>AND('財法所101-英文法務組'!#REF!,"AAAAAHn+v3Q=")</f>
        <v>#REF!</v>
      </c>
      <c r="DN5" t="e">
        <f>AND('財法所101-英文法務組'!#REF!,"AAAAAHn+v3U=")</f>
        <v>#REF!</v>
      </c>
      <c r="DO5" t="e">
        <f>AND('財法所101-英文法務組'!#REF!,"AAAAAHn+v3Y=")</f>
        <v>#REF!</v>
      </c>
      <c r="DP5" t="e">
        <f>AND('財法所101-英文法務組'!#REF!,"AAAAAHn+v3c=")</f>
        <v>#REF!</v>
      </c>
      <c r="DQ5" t="e">
        <f>AND('財法所101-英文法務組'!#REF!,"AAAAAHn+v3g=")</f>
        <v>#REF!</v>
      </c>
      <c r="DR5" t="e">
        <f>AND('財法所101-英文法務組'!#REF!,"AAAAAHn+v3k=")</f>
        <v>#REF!</v>
      </c>
      <c r="DS5" t="e">
        <f>AND('財法所101-英文法務組'!#REF!,"AAAAAHn+v3o=")</f>
        <v>#REF!</v>
      </c>
      <c r="DT5" t="e">
        <f>AND('財法所101-英文法務組'!#REF!,"AAAAAHn+v3s=")</f>
        <v>#REF!</v>
      </c>
      <c r="DU5" t="e">
        <f>AND('財法所101-英文法務組'!#REF!,"AAAAAHn+v3w=")</f>
        <v>#REF!</v>
      </c>
      <c r="DV5" t="e">
        <f>AND('財法所101-英文法務組'!#REF!,"AAAAAHn+v30=")</f>
        <v>#REF!</v>
      </c>
      <c r="DW5" t="e">
        <f>AND('財法所101-英文法務組'!#REF!,"AAAAAHn+v34=")</f>
        <v>#REF!</v>
      </c>
      <c r="DX5" t="e">
        <f>AND('財法所101-英文法務組'!#REF!,"AAAAAHn+v38=")</f>
        <v>#REF!</v>
      </c>
      <c r="DY5" t="e">
        <f>AND('財法所101-英文法務組'!#REF!,"AAAAAHn+v4A=")</f>
        <v>#REF!</v>
      </c>
      <c r="DZ5" t="e">
        <f>AND('財法所101-英文法務組'!#REF!,"AAAAAHn+v4E=")</f>
        <v>#REF!</v>
      </c>
      <c r="EA5" t="e">
        <f>AND('財法所101-英文法務組'!#REF!,"AAAAAHn+v4I=")</f>
        <v>#REF!</v>
      </c>
      <c r="EB5" t="e">
        <f>AND('財法所101-英文法務組'!#REF!,"AAAAAHn+v4M=")</f>
        <v>#REF!</v>
      </c>
      <c r="EC5" t="e">
        <f>AND('財法所101-英文法務組'!#REF!,"AAAAAHn+v4Q=")</f>
        <v>#REF!</v>
      </c>
      <c r="ED5" t="e">
        <f>AND('財法所101-英文法務組'!#REF!,"AAAAAHn+v4U=")</f>
        <v>#REF!</v>
      </c>
      <c r="EE5" t="e">
        <f>AND('財法所101-英文法務組'!#REF!,"AAAAAHn+v4Y=")</f>
        <v>#REF!</v>
      </c>
      <c r="EF5" t="e">
        <f>AND('財法所101-英文法務組'!#REF!,"AAAAAHn+v4c=")</f>
        <v>#REF!</v>
      </c>
      <c r="EG5" t="e">
        <f>AND('財法所101-英文法務組'!#REF!,"AAAAAHn+v4g=")</f>
        <v>#REF!</v>
      </c>
      <c r="EH5" t="e">
        <f>AND('財法所101-英文法務組'!#REF!,"AAAAAHn+v4k=")</f>
        <v>#REF!</v>
      </c>
      <c r="EI5" t="e">
        <f>AND('財法所101-英文法務組'!#REF!,"AAAAAHn+v4o=")</f>
        <v>#REF!</v>
      </c>
      <c r="EJ5" t="e">
        <f>AND('財法所101-英文法務組'!#REF!,"AAAAAHn+v4s=")</f>
        <v>#REF!</v>
      </c>
      <c r="EK5" t="e">
        <f>AND('財法所101-英文法務組'!#REF!,"AAAAAHn+v4w=")</f>
        <v>#REF!</v>
      </c>
      <c r="EL5" t="e">
        <f>AND('財法所101-英文法務組'!#REF!,"AAAAAHn+v40=")</f>
        <v>#REF!</v>
      </c>
      <c r="EM5" t="e">
        <f>AND('財法所101-英文法務組'!#REF!,"AAAAAHn+v44=")</f>
        <v>#REF!</v>
      </c>
      <c r="EN5" t="e">
        <f>AND('財法所101-英文法務組'!#REF!,"AAAAAHn+v48=")</f>
        <v>#REF!</v>
      </c>
      <c r="EO5" t="e">
        <f>AND('財法所101-英文法務組'!#REF!,"AAAAAHn+v5A=")</f>
        <v>#REF!</v>
      </c>
      <c r="EP5" t="e">
        <f>AND('財法所101-英文法務組'!#REF!,"AAAAAHn+v5E=")</f>
        <v>#REF!</v>
      </c>
      <c r="EQ5" t="e">
        <f>AND('財法所101-英文法務組'!#REF!,"AAAAAHn+v5I=")</f>
        <v>#REF!</v>
      </c>
      <c r="ER5" t="e">
        <f>AND('財法所101-英文法務組'!#REF!,"AAAAAHn+v5M=")</f>
        <v>#REF!</v>
      </c>
      <c r="ES5" t="e">
        <f>AND('財法所101-英文法務組'!#REF!,"AAAAAHn+v5Q=")</f>
        <v>#REF!</v>
      </c>
      <c r="ET5" t="e">
        <f>AND('財法所101-英文法務組'!#REF!,"AAAAAHn+v5U=")</f>
        <v>#REF!</v>
      </c>
      <c r="EU5" t="e">
        <f>AND('財法所101-英文法務組'!#REF!,"AAAAAHn+v5Y=")</f>
        <v>#REF!</v>
      </c>
      <c r="EV5" t="e">
        <f>AND('財法所101-英文法務組'!#REF!,"AAAAAHn+v5c=")</f>
        <v>#REF!</v>
      </c>
      <c r="EW5" t="e">
        <f>AND('財法所101-英文法務組'!#REF!,"AAAAAHn+v5g=")</f>
        <v>#REF!</v>
      </c>
      <c r="EX5" t="e">
        <f>AND('財法所101-英文法務組'!#REF!,"AAAAAHn+v5k=")</f>
        <v>#REF!</v>
      </c>
      <c r="EY5" t="e">
        <f>AND('財法所101-英文法務組'!#REF!,"AAAAAHn+v5o=")</f>
        <v>#REF!</v>
      </c>
      <c r="EZ5" t="e">
        <f>AND('財法所101-英文法務組'!#REF!,"AAAAAHn+v5s=")</f>
        <v>#REF!</v>
      </c>
      <c r="FA5" t="e">
        <f>AND('財法所101-英文法務組'!#REF!,"AAAAAHn+v5w=")</f>
        <v>#REF!</v>
      </c>
      <c r="FB5" t="e">
        <f>AND('財法所101-英文法務組'!#REF!,"AAAAAHn+v50=")</f>
        <v>#REF!</v>
      </c>
      <c r="FC5" t="e">
        <f>AND('財法所101-英文法務組'!#REF!,"AAAAAHn+v54=")</f>
        <v>#REF!</v>
      </c>
      <c r="FD5" t="e">
        <f>AND('財法所101-英文法務組'!#REF!,"AAAAAHn+v58=")</f>
        <v>#REF!</v>
      </c>
      <c r="FE5" t="e">
        <f>AND('財法所101-英文法務組'!#REF!,"AAAAAHn+v6A=")</f>
        <v>#REF!</v>
      </c>
      <c r="FF5" t="e">
        <f>AND('財法所101-英文法務組'!#REF!,"AAAAAHn+v6E=")</f>
        <v>#REF!</v>
      </c>
      <c r="FG5" t="e">
        <f>AND('財法所101-英文法務組'!#REF!,"AAAAAHn+v6I=")</f>
        <v>#REF!</v>
      </c>
      <c r="FH5" t="e">
        <f>AND('財法所101-英文法務組'!#REF!,"AAAAAHn+v6M=")</f>
        <v>#REF!</v>
      </c>
      <c r="FI5" t="e">
        <f>AND('財法所101-英文法務組'!#REF!,"AAAAAHn+v6Q=")</f>
        <v>#REF!</v>
      </c>
      <c r="FJ5" t="e">
        <f>AND('財法所101-英文法務組'!#REF!,"AAAAAHn+v6U=")</f>
        <v>#REF!</v>
      </c>
      <c r="FK5" t="e">
        <f>AND('財法所101-英文法務組'!#REF!,"AAAAAHn+v6Y=")</f>
        <v>#REF!</v>
      </c>
      <c r="FL5" t="e">
        <f>AND('財法所101-英文法務組'!#REF!,"AAAAAHn+v6c=")</f>
        <v>#REF!</v>
      </c>
      <c r="FM5" t="e">
        <f>AND('財法所101-英文法務組'!#REF!,"AAAAAHn+v6g=")</f>
        <v>#REF!</v>
      </c>
      <c r="FN5" t="e">
        <f>AND('財法所101-英文法務組'!#REF!,"AAAAAHn+v6k=")</f>
        <v>#REF!</v>
      </c>
      <c r="FO5" t="e">
        <f>AND('財法所101-英文法務組'!#REF!,"AAAAAHn+v6o=")</f>
        <v>#REF!</v>
      </c>
      <c r="FP5" t="e">
        <f>AND('財法所101-英文法務組'!#REF!,"AAAAAHn+v6s=")</f>
        <v>#REF!</v>
      </c>
      <c r="FQ5" t="e">
        <f>AND('財法所101-英文法務組'!#REF!,"AAAAAHn+v6w=")</f>
        <v>#REF!</v>
      </c>
      <c r="FR5" t="e">
        <f>AND('財法所101-英文法務組'!#REF!,"AAAAAHn+v60=")</f>
        <v>#REF!</v>
      </c>
      <c r="FS5" t="e">
        <f>AND('財法所101-英文法務組'!#REF!,"AAAAAHn+v64=")</f>
        <v>#REF!</v>
      </c>
      <c r="FT5" t="e">
        <f>AND('財法所101-英文法務組'!#REF!,"AAAAAHn+v68=")</f>
        <v>#REF!</v>
      </c>
      <c r="FU5" t="e">
        <f>AND('財法所101-英文法務組'!#REF!,"AAAAAHn+v7A=")</f>
        <v>#REF!</v>
      </c>
      <c r="FV5" t="e">
        <f>AND('財法所101-英文法務組'!#REF!,"AAAAAHn+v7E=")</f>
        <v>#REF!</v>
      </c>
      <c r="FW5" t="e">
        <f>AND('財法所101-英文法務組'!#REF!,"AAAAAHn+v7I=")</f>
        <v>#REF!</v>
      </c>
      <c r="FX5" t="e">
        <f>AND('財法所101-英文法務組'!#REF!,"AAAAAHn+v7M=")</f>
        <v>#REF!</v>
      </c>
      <c r="FY5" t="e">
        <f>AND('財法所101-英文法務組'!#REF!,"AAAAAHn+v7Q=")</f>
        <v>#REF!</v>
      </c>
      <c r="FZ5" t="e">
        <f>AND('財法所101-英文法務組'!#REF!,"AAAAAHn+v7U=")</f>
        <v>#REF!</v>
      </c>
      <c r="GA5" t="e">
        <f>AND('財法所101-英文法務組'!#REF!,"AAAAAHn+v7Y=")</f>
        <v>#REF!</v>
      </c>
      <c r="GB5" t="e">
        <f>AND('財法所101-英文法務組'!#REF!,"AAAAAHn+v7c=")</f>
        <v>#REF!</v>
      </c>
      <c r="GC5" t="e">
        <f>AND('財法所101-英文法務組'!#REF!,"AAAAAHn+v7g=")</f>
        <v>#REF!</v>
      </c>
      <c r="GD5" t="e">
        <f>AND('財法所101-英文法務組'!#REF!,"AAAAAHn+v7k=")</f>
        <v>#REF!</v>
      </c>
      <c r="GE5" t="e">
        <f>AND('財法所101-英文法務組'!#REF!,"AAAAAHn+v7o=")</f>
        <v>#REF!</v>
      </c>
      <c r="GF5" t="e">
        <f>AND('財法所101-英文法務組'!#REF!,"AAAAAHn+v7s=")</f>
        <v>#REF!</v>
      </c>
      <c r="GG5" t="e">
        <f>AND('財法所101-英文法務組'!#REF!,"AAAAAHn+v7w=")</f>
        <v>#REF!</v>
      </c>
      <c r="GH5" t="e">
        <f>AND('財法所101-英文法務組'!#REF!,"AAAAAHn+v70=")</f>
        <v>#REF!</v>
      </c>
      <c r="GI5" t="e">
        <f>AND('財法所101-英文法務組'!#REF!,"AAAAAHn+v74=")</f>
        <v>#REF!</v>
      </c>
      <c r="GJ5" t="e">
        <f>AND('財法所101-英文法務組'!#REF!,"AAAAAHn+v78=")</f>
        <v>#REF!</v>
      </c>
      <c r="GK5" t="e">
        <f>AND('財法所101-英文法務組'!#REF!,"AAAAAHn+v8A=")</f>
        <v>#REF!</v>
      </c>
      <c r="GL5" t="e">
        <f>AND('財法所101-英文法務組'!#REF!,"AAAAAHn+v8E=")</f>
        <v>#REF!</v>
      </c>
      <c r="GM5" t="e">
        <f>AND('財法所101-英文法務組'!#REF!,"AAAAAHn+v8I=")</f>
        <v>#REF!</v>
      </c>
      <c r="GN5" t="e">
        <f>AND('財法所101-英文法務組'!#REF!,"AAAAAHn+v8M=")</f>
        <v>#REF!</v>
      </c>
      <c r="GO5" t="e">
        <f>AND('財法所101-英文法務組'!#REF!,"AAAAAHn+v8Q=")</f>
        <v>#REF!</v>
      </c>
      <c r="GP5" t="e">
        <f>AND('財法所101-英文法務組'!#REF!,"AAAAAHn+v8U=")</f>
        <v>#REF!</v>
      </c>
      <c r="GQ5" t="e">
        <f>AND('財法所101-英文法務組'!#REF!,"AAAAAHn+v8Y=")</f>
        <v>#REF!</v>
      </c>
      <c r="GR5" t="e">
        <f>AND('財法所101-英文法務組'!#REF!,"AAAAAHn+v8c=")</f>
        <v>#REF!</v>
      </c>
      <c r="GS5" t="e">
        <f>AND('財法所101-英文法務組'!#REF!,"AAAAAHn+v8g=")</f>
        <v>#REF!</v>
      </c>
      <c r="GT5" t="e">
        <f>AND('財法所101-英文法務組'!#REF!,"AAAAAHn+v8k=")</f>
        <v>#REF!</v>
      </c>
      <c r="GU5" t="e">
        <f>AND('財法所101-英文法務組'!#REF!,"AAAAAHn+v8o=")</f>
        <v>#REF!</v>
      </c>
      <c r="GV5" t="e">
        <f>AND('財法所101-英文法務組'!#REF!,"AAAAAHn+v8s=")</f>
        <v>#REF!</v>
      </c>
      <c r="GW5" t="e">
        <f>AND('財法所101-英文法務組'!#REF!,"AAAAAHn+v8w=")</f>
        <v>#REF!</v>
      </c>
      <c r="GX5" t="e">
        <f>AND('財法所101-英文法務組'!#REF!,"AAAAAHn+v80=")</f>
        <v>#REF!</v>
      </c>
      <c r="GY5" t="e">
        <f>AND('財法所101-英文法務組'!#REF!,"AAAAAHn+v84=")</f>
        <v>#REF!</v>
      </c>
      <c r="GZ5" t="e">
        <f>AND('財法所101-英文法務組'!#REF!,"AAAAAHn+v88=")</f>
        <v>#REF!</v>
      </c>
      <c r="HA5" t="e">
        <f>AND('財法所101-英文法務組'!#REF!,"AAAAAHn+v9A=")</f>
        <v>#REF!</v>
      </c>
      <c r="HB5" t="e">
        <f>AND('財法所101-英文法務組'!#REF!,"AAAAAHn+v9E=")</f>
        <v>#REF!</v>
      </c>
      <c r="HC5" t="e">
        <f>AND('財法所101-英文法務組'!#REF!,"AAAAAHn+v9I=")</f>
        <v>#REF!</v>
      </c>
      <c r="HD5" t="e">
        <f>AND('財法所101-英文法務組'!#REF!,"AAAAAHn+v9M=")</f>
        <v>#REF!</v>
      </c>
      <c r="HE5" t="e">
        <f>AND('財法所101-英文法務組'!#REF!,"AAAAAHn+v9Q=")</f>
        <v>#REF!</v>
      </c>
      <c r="HF5" t="e">
        <f>AND('財法所101-英文法務組'!#REF!,"AAAAAHn+v9U=")</f>
        <v>#REF!</v>
      </c>
      <c r="HG5" t="e">
        <f>AND('財法所101-英文法務組'!#REF!,"AAAAAHn+v9Y=")</f>
        <v>#REF!</v>
      </c>
      <c r="HH5" t="e">
        <f>AND('財法所101-英文法務組'!#REF!,"AAAAAHn+v9c=")</f>
        <v>#REF!</v>
      </c>
      <c r="HI5" t="e">
        <f>AND('財法所101-英文法務組'!#REF!,"AAAAAHn+v9g=")</f>
        <v>#REF!</v>
      </c>
      <c r="HJ5" t="e">
        <f>AND('財法所101-英文法務組'!#REF!,"AAAAAHn+v9k=")</f>
        <v>#REF!</v>
      </c>
      <c r="HK5" t="e">
        <f>AND('財法所101-英文法務組'!#REF!,"AAAAAHn+v9o=")</f>
        <v>#REF!</v>
      </c>
      <c r="HL5" t="e">
        <f>AND('財法所101-英文法務組'!#REF!,"AAAAAHn+v9s=")</f>
        <v>#REF!</v>
      </c>
      <c r="HM5" t="e">
        <f>AND('財法所101-英文法務組'!#REF!,"AAAAAHn+v9w=")</f>
        <v>#REF!</v>
      </c>
      <c r="HN5" t="e">
        <f>AND('財法所101-英文法務組'!#REF!,"AAAAAHn+v90=")</f>
        <v>#REF!</v>
      </c>
      <c r="HO5" t="e">
        <f>AND('財法所101-英文法務組'!#REF!,"AAAAAHn+v94=")</f>
        <v>#REF!</v>
      </c>
      <c r="HP5" t="e">
        <f>AND('財法所101-英文法務組'!#REF!,"AAAAAHn+v98=")</f>
        <v>#REF!</v>
      </c>
      <c r="HQ5" t="e">
        <f>AND('財法所101-英文法務組'!#REF!,"AAAAAHn+v+A=")</f>
        <v>#REF!</v>
      </c>
      <c r="HR5" t="e">
        <f>AND('財法所101-英文法務組'!#REF!,"AAAAAHn+v+E=")</f>
        <v>#REF!</v>
      </c>
      <c r="HS5" t="e">
        <f>AND('財法所101-英文法務組'!#REF!,"AAAAAHn+v+I=")</f>
        <v>#REF!</v>
      </c>
      <c r="HT5" t="e">
        <f>AND('財法所101-英文法務組'!#REF!,"AAAAAHn+v+M=")</f>
        <v>#REF!</v>
      </c>
      <c r="HU5" t="e">
        <f>AND('財法所101-英文法務組'!#REF!,"AAAAAHn+v+Q=")</f>
        <v>#REF!</v>
      </c>
      <c r="HV5" t="e">
        <f>AND('財法所101-英文法務組'!#REF!,"AAAAAHn+v+U=")</f>
        <v>#REF!</v>
      </c>
      <c r="HW5" t="e">
        <f>AND('財法所101-英文法務組'!#REF!,"AAAAAHn+v+Y=")</f>
        <v>#REF!</v>
      </c>
      <c r="HX5" t="e">
        <f>AND('財法所101-英文法務組'!#REF!,"AAAAAHn+v+c=")</f>
        <v>#REF!</v>
      </c>
      <c r="HY5" t="e">
        <f>AND('財法所101-英文法務組'!#REF!,"AAAAAHn+v+g=")</f>
        <v>#REF!</v>
      </c>
      <c r="HZ5" t="e">
        <f>AND('財法所101-英文法務組'!#REF!,"AAAAAHn+v+k=")</f>
        <v>#REF!</v>
      </c>
      <c r="IA5" t="e">
        <f>AND('財法所101-英文法務組'!#REF!,"AAAAAHn+v+o=")</f>
        <v>#REF!</v>
      </c>
      <c r="IB5" t="e">
        <f>AND('財法所101-英文法務組'!#REF!,"AAAAAHn+v+s=")</f>
        <v>#REF!</v>
      </c>
      <c r="IC5" t="e">
        <f>AND('財法所101-英文法務組'!#REF!,"AAAAAHn+v+w=")</f>
        <v>#REF!</v>
      </c>
      <c r="ID5" t="e">
        <f>AND('財法所101-英文法務組'!#REF!,"AAAAAHn+v+0=")</f>
        <v>#REF!</v>
      </c>
      <c r="IE5" t="e">
        <f>AND('財法所101-英文法務組'!#REF!,"AAAAAHn+v+4=")</f>
        <v>#REF!</v>
      </c>
      <c r="IF5" t="e">
        <f>AND('財法所101-英文法務組'!#REF!,"AAAAAHn+v+8=")</f>
        <v>#REF!</v>
      </c>
      <c r="IG5" t="e">
        <f>AND('財法所101-英文法務組'!#REF!,"AAAAAHn+v/A=")</f>
        <v>#REF!</v>
      </c>
      <c r="IH5" t="e">
        <f>AND('財法所101-英文法務組'!#REF!,"AAAAAHn+v/E=")</f>
        <v>#REF!</v>
      </c>
      <c r="II5" t="e">
        <f>AND('財法所101-英文法務組'!#REF!,"AAAAAHn+v/I=")</f>
        <v>#REF!</v>
      </c>
      <c r="IJ5" t="e">
        <f>AND('財法所101-英文法務組'!#REF!,"AAAAAHn+v/M=")</f>
        <v>#REF!</v>
      </c>
      <c r="IK5" t="e">
        <f>AND('財法所101-英文法務組'!#REF!,"AAAAAHn+v/Q=")</f>
        <v>#REF!</v>
      </c>
      <c r="IL5" t="e">
        <f>AND('財法所101-英文法務組'!#REF!,"AAAAAHn+v/U=")</f>
        <v>#REF!</v>
      </c>
      <c r="IM5" t="e">
        <f>AND('財法所101-英文法務組'!#REF!,"AAAAAHn+v/Y=")</f>
        <v>#REF!</v>
      </c>
      <c r="IN5" t="e">
        <f>AND('財法所101-英文法務組'!#REF!,"AAAAAHn+v/c=")</f>
        <v>#REF!</v>
      </c>
      <c r="IO5" t="e">
        <f>AND('財法所101-英文法務組'!#REF!,"AAAAAHn+v/g=")</f>
        <v>#REF!</v>
      </c>
      <c r="IP5" t="e">
        <f>AND('財法所101-英文法務組'!#REF!,"AAAAAHn+v/k=")</f>
        <v>#REF!</v>
      </c>
      <c r="IQ5" t="e">
        <f>AND('財法所101-英文法務組'!#REF!,"AAAAAHn+v/o=")</f>
        <v>#REF!</v>
      </c>
      <c r="IR5" t="e">
        <f>AND('財法所101-英文法務組'!#REF!,"AAAAAHn+v/s=")</f>
        <v>#REF!</v>
      </c>
      <c r="IS5" t="e">
        <f>AND('財法所101-英文法務組'!#REF!,"AAAAAHn+v/w=")</f>
        <v>#REF!</v>
      </c>
      <c r="IT5" t="e">
        <f>AND('財法所101-英文法務組'!#REF!,"AAAAAHn+v/0=")</f>
        <v>#REF!</v>
      </c>
      <c r="IU5" t="e">
        <f>AND('財法所101-英文法務組'!#REF!,"AAAAAHn+v/4=")</f>
        <v>#REF!</v>
      </c>
      <c r="IV5" t="e">
        <f>AND('財法所101-英文法務組'!#REF!,"AAAAAHn+v/8=")</f>
        <v>#REF!</v>
      </c>
    </row>
    <row r="6" spans="1:256">
      <c r="A6" t="e">
        <f>AND('財法所101-英文法務組'!#REF!,"AAAAAH4z7wA=")</f>
        <v>#REF!</v>
      </c>
      <c r="B6" t="e">
        <f>AND('財法所101-英文法務組'!#REF!,"AAAAAH4z7wE=")</f>
        <v>#REF!</v>
      </c>
      <c r="C6" t="e">
        <f>AND('財法所101-英文法務組'!#REF!,"AAAAAH4z7wI=")</f>
        <v>#REF!</v>
      </c>
      <c r="D6" t="e">
        <f>AND('財法所101-英文法務組'!#REF!,"AAAAAH4z7wM=")</f>
        <v>#REF!</v>
      </c>
      <c r="E6" t="e">
        <f>AND('財法所101-英文法務組'!#REF!,"AAAAAH4z7wQ=")</f>
        <v>#REF!</v>
      </c>
      <c r="F6" t="e">
        <f>AND('財法所101-英文法務組'!#REF!,"AAAAAH4z7wU=")</f>
        <v>#REF!</v>
      </c>
      <c r="G6" t="e">
        <f>AND('財法所101-英文法務組'!#REF!,"AAAAAH4z7wY=")</f>
        <v>#REF!</v>
      </c>
      <c r="H6" t="e">
        <f>AND('財法所101-英文法務組'!#REF!,"AAAAAH4z7wc=")</f>
        <v>#REF!</v>
      </c>
      <c r="I6" t="e">
        <f>AND('財法所101-英文法務組'!#REF!,"AAAAAH4z7wg=")</f>
        <v>#REF!</v>
      </c>
      <c r="J6" t="e">
        <f>AND('財法所101-英文法務組'!#REF!,"AAAAAH4z7wk=")</f>
        <v>#REF!</v>
      </c>
      <c r="K6" t="e">
        <f>AND('財法所101-英文法務組'!#REF!,"AAAAAH4z7wo=")</f>
        <v>#REF!</v>
      </c>
      <c r="L6" t="e">
        <f>AND('財法所101-英文法務組'!#REF!,"AAAAAH4z7ws=")</f>
        <v>#REF!</v>
      </c>
      <c r="M6" t="e">
        <f>AND('財法所101-英文法務組'!#REF!,"AAAAAH4z7ww=")</f>
        <v>#REF!</v>
      </c>
      <c r="N6" t="e">
        <f>AND('財法所101-英文法務組'!#REF!,"AAAAAH4z7w0=")</f>
        <v>#REF!</v>
      </c>
      <c r="O6" t="e">
        <f>AND('財法所101-英文法務組'!#REF!,"AAAAAH4z7w4=")</f>
        <v>#REF!</v>
      </c>
      <c r="P6" t="e">
        <f>AND('財法所101-英文法務組'!#REF!,"AAAAAH4z7w8=")</f>
        <v>#REF!</v>
      </c>
      <c r="Q6" t="e">
        <f>AND('財法所101-英文法務組'!#REF!,"AAAAAH4z7xA=")</f>
        <v>#REF!</v>
      </c>
      <c r="R6" t="e">
        <f>AND('財法所101-英文法務組'!#REF!,"AAAAAH4z7xE=")</f>
        <v>#REF!</v>
      </c>
      <c r="S6" t="e">
        <f>AND('財法所101-英文法務組'!#REF!,"AAAAAH4z7xI=")</f>
        <v>#REF!</v>
      </c>
      <c r="T6" t="e">
        <f>AND('財法所101-英文法務組'!#REF!,"AAAAAH4z7xM=")</f>
        <v>#REF!</v>
      </c>
      <c r="U6" t="e">
        <f>AND('財法所101-英文法務組'!#REF!,"AAAAAH4z7xQ=")</f>
        <v>#REF!</v>
      </c>
      <c r="V6" t="e">
        <f>AND('財法所101-英文法務組'!#REF!,"AAAAAH4z7xU=")</f>
        <v>#REF!</v>
      </c>
      <c r="W6" t="e">
        <f>AND('財法所101-英文法務組'!#REF!,"AAAAAH4z7xY=")</f>
        <v>#REF!</v>
      </c>
      <c r="X6" t="e">
        <f>AND('財法所101-英文法務組'!#REF!,"AAAAAH4z7xc=")</f>
        <v>#REF!</v>
      </c>
      <c r="Y6" t="e">
        <f>AND('財法所101-英文法務組'!#REF!,"AAAAAH4z7xg=")</f>
        <v>#REF!</v>
      </c>
      <c r="Z6" t="e">
        <f>AND('財法所101-英文法務組'!#REF!,"AAAAAH4z7xk=")</f>
        <v>#REF!</v>
      </c>
      <c r="AA6" t="e">
        <f>AND('財法所101-英文法務組'!#REF!,"AAAAAH4z7xo=")</f>
        <v>#REF!</v>
      </c>
      <c r="AB6" t="e">
        <f>AND('財法所101-英文法務組'!#REF!,"AAAAAH4z7xs=")</f>
        <v>#REF!</v>
      </c>
      <c r="AC6" t="e">
        <f>AND('財法所101-英文法務組'!#REF!,"AAAAAH4z7xw=")</f>
        <v>#REF!</v>
      </c>
      <c r="AD6" t="e">
        <f>AND('財法所101-英文法務組'!#REF!,"AAAAAH4z7x0=")</f>
        <v>#REF!</v>
      </c>
      <c r="AE6" t="e">
        <f>AND('財法所101-英文法務組'!#REF!,"AAAAAH4z7x4=")</f>
        <v>#REF!</v>
      </c>
      <c r="AF6" t="e">
        <f>AND('財法所101-英文法務組'!#REF!,"AAAAAH4z7x8=")</f>
        <v>#REF!</v>
      </c>
      <c r="AG6" t="e">
        <f>AND('財法所101-英文法務組'!#REF!,"AAAAAH4z7yA=")</f>
        <v>#REF!</v>
      </c>
      <c r="AH6" t="e">
        <f>AND('財法所101-英文法務組'!#REF!,"AAAAAH4z7yE=")</f>
        <v>#REF!</v>
      </c>
      <c r="AI6" t="e">
        <f>AND('財法所101-英文法務組'!#REF!,"AAAAAH4z7yI=")</f>
        <v>#REF!</v>
      </c>
      <c r="AJ6" t="e">
        <f>AND('財法所101-英文法務組'!#REF!,"AAAAAH4z7yM=")</f>
        <v>#REF!</v>
      </c>
      <c r="AK6" t="e">
        <f>AND('財法所101-英文法務組'!#REF!,"AAAAAH4z7yQ=")</f>
        <v>#REF!</v>
      </c>
      <c r="AL6" t="e">
        <f>AND('財法所101-英文法務組'!#REF!,"AAAAAH4z7yU=")</f>
        <v>#REF!</v>
      </c>
      <c r="AM6" t="e">
        <f>AND('財法所101-英文法務組'!#REF!,"AAAAAH4z7yY=")</f>
        <v>#REF!</v>
      </c>
      <c r="AN6" t="e">
        <f>AND('財法所101-英文法務組'!#REF!,"AAAAAH4z7yc=")</f>
        <v>#REF!</v>
      </c>
      <c r="AO6" t="e">
        <f>AND('財法所101-英文法務組'!#REF!,"AAAAAH4z7yg=")</f>
        <v>#REF!</v>
      </c>
      <c r="AP6" t="e">
        <f>AND('財法所101-英文法務組'!#REF!,"AAAAAH4z7yk=")</f>
        <v>#REF!</v>
      </c>
      <c r="AQ6" t="e">
        <f>AND('財法所101-英文法務組'!#REF!,"AAAAAH4z7yo=")</f>
        <v>#REF!</v>
      </c>
      <c r="AR6" t="e">
        <f>AND('財法所101-英文法務組'!#REF!,"AAAAAH4z7ys=")</f>
        <v>#REF!</v>
      </c>
      <c r="AS6" t="e">
        <f>AND('財法所101-英文法務組'!#REF!,"AAAAAH4z7yw=")</f>
        <v>#REF!</v>
      </c>
      <c r="AT6" t="e">
        <f>AND('財法所101-英文法務組'!#REF!,"AAAAAH4z7y0=")</f>
        <v>#REF!</v>
      </c>
      <c r="AU6" t="e">
        <f>AND('財法所101-英文法務組'!#REF!,"AAAAAH4z7y4=")</f>
        <v>#REF!</v>
      </c>
      <c r="AV6" t="e">
        <f>AND('財法所101-英文法務組'!#REF!,"AAAAAH4z7y8=")</f>
        <v>#REF!</v>
      </c>
      <c r="AW6" t="e">
        <f>AND('財法所101-英文法務組'!#REF!,"AAAAAH4z7zA=")</f>
        <v>#REF!</v>
      </c>
      <c r="AX6" t="e">
        <f>AND('財法所101-英文法務組'!#REF!,"AAAAAH4z7zE=")</f>
        <v>#REF!</v>
      </c>
      <c r="AY6" t="e">
        <f>AND('財法所101-英文法務組'!#REF!,"AAAAAH4z7zI=")</f>
        <v>#REF!</v>
      </c>
      <c r="AZ6" t="e">
        <f>AND('財法所101-英文法務組'!#REF!,"AAAAAH4z7zM=")</f>
        <v>#REF!</v>
      </c>
      <c r="BA6" t="e">
        <f>AND('財法所101-英文法務組'!#REF!,"AAAAAH4z7zQ=")</f>
        <v>#REF!</v>
      </c>
      <c r="BB6" t="e">
        <f>AND('財法所101-英文法務組'!#REF!,"AAAAAH4z7zU=")</f>
        <v>#REF!</v>
      </c>
      <c r="BC6" t="e">
        <f>AND('財法所101-英文法務組'!#REF!,"AAAAAH4z7zY=")</f>
        <v>#REF!</v>
      </c>
      <c r="BD6" t="e">
        <f>AND('財法所101-英文法務組'!#REF!,"AAAAAH4z7zc=")</f>
        <v>#REF!</v>
      </c>
      <c r="BE6" t="e">
        <f>AND('財法所101-英文法務組'!#REF!,"AAAAAH4z7zg=")</f>
        <v>#REF!</v>
      </c>
      <c r="BF6" t="e">
        <f>AND('財法所101-英文法務組'!#REF!,"AAAAAH4z7zk=")</f>
        <v>#REF!</v>
      </c>
      <c r="BG6" t="e">
        <f>AND('財法所101-英文法務組'!#REF!,"AAAAAH4z7zo=")</f>
        <v>#REF!</v>
      </c>
      <c r="BH6" t="e">
        <f>AND('財法所101-英文法務組'!#REF!,"AAAAAH4z7zs=")</f>
        <v>#REF!</v>
      </c>
      <c r="BI6" t="e">
        <f>AND('財法所101-英文法務組'!#REF!,"AAAAAH4z7zw=")</f>
        <v>#REF!</v>
      </c>
      <c r="BJ6" t="e">
        <f>AND('財法所101-英文法務組'!#REF!,"AAAAAH4z7z0=")</f>
        <v>#REF!</v>
      </c>
      <c r="BK6" t="e">
        <f>AND('財法所101-英文法務組'!#REF!,"AAAAAH4z7z4=")</f>
        <v>#REF!</v>
      </c>
      <c r="BL6" t="e">
        <f>AND('財法所101-英文法務組'!#REF!,"AAAAAH4z7z8=")</f>
        <v>#REF!</v>
      </c>
      <c r="BM6" t="e">
        <f>AND('財法所101-英文法務組'!#REF!,"AAAAAH4z70A=")</f>
        <v>#REF!</v>
      </c>
      <c r="BN6" t="e">
        <f>AND('財法所101-英文法務組'!#REF!,"AAAAAH4z70E=")</f>
        <v>#REF!</v>
      </c>
      <c r="BO6" t="e">
        <f>AND('財法所101-英文法務組'!#REF!,"AAAAAH4z70I=")</f>
        <v>#REF!</v>
      </c>
      <c r="BP6" t="e">
        <f>AND('財法所101-英文法務組'!#REF!,"AAAAAH4z70M=")</f>
        <v>#REF!</v>
      </c>
      <c r="BQ6" t="e">
        <f>AND('財法所101-英文法務組'!#REF!,"AAAAAH4z70Q=")</f>
        <v>#REF!</v>
      </c>
      <c r="BR6" t="e">
        <f>AND('財法所101-英文法務組'!#REF!,"AAAAAH4z70U=")</f>
        <v>#REF!</v>
      </c>
      <c r="BS6" t="e">
        <f>AND('財法所101-英文法務組'!#REF!,"AAAAAH4z70Y=")</f>
        <v>#REF!</v>
      </c>
      <c r="BT6" t="e">
        <f>AND('財法所101-英文法務組'!#REF!,"AAAAAH4z70c=")</f>
        <v>#REF!</v>
      </c>
      <c r="BU6" t="e">
        <f>AND('財法所101-英文法務組'!#REF!,"AAAAAH4z70g=")</f>
        <v>#REF!</v>
      </c>
      <c r="BV6" t="e">
        <f>AND('財法所101-英文法務組'!#REF!,"AAAAAH4z70k=")</f>
        <v>#REF!</v>
      </c>
      <c r="BW6" t="e">
        <f>AND('財法所101-英文法務組'!#REF!,"AAAAAH4z70o=")</f>
        <v>#REF!</v>
      </c>
      <c r="BX6" t="e">
        <f>AND('財法所101-英文法務組'!#REF!,"AAAAAH4z70s=")</f>
        <v>#REF!</v>
      </c>
      <c r="BY6" t="e">
        <f>AND('財法所101-英文法務組'!#REF!,"AAAAAH4z70w=")</f>
        <v>#REF!</v>
      </c>
      <c r="BZ6" t="e">
        <f>AND('財法所101-英文法務組'!#REF!,"AAAAAH4z700=")</f>
        <v>#REF!</v>
      </c>
      <c r="CA6" t="e">
        <f>AND('財法所101-英文法務組'!#REF!,"AAAAAH4z704=")</f>
        <v>#REF!</v>
      </c>
      <c r="CB6" t="e">
        <f>AND('財法所101-英文法務組'!#REF!,"AAAAAH4z708=")</f>
        <v>#REF!</v>
      </c>
      <c r="CC6" t="e">
        <f>AND('財法所101-英文法務組'!#REF!,"AAAAAH4z71A=")</f>
        <v>#REF!</v>
      </c>
      <c r="CD6" t="e">
        <f>AND('財法所101-英文法務組'!#REF!,"AAAAAH4z71E=")</f>
        <v>#REF!</v>
      </c>
      <c r="CE6" t="e">
        <f>AND('財法所101-英文法務組'!#REF!,"AAAAAH4z71I=")</f>
        <v>#REF!</v>
      </c>
      <c r="CF6" t="e">
        <f>AND('財法所101-英文法務組'!#REF!,"AAAAAH4z71M=")</f>
        <v>#REF!</v>
      </c>
      <c r="CG6" t="e">
        <f>AND('財法所101-英文法務組'!#REF!,"AAAAAH4z71Q=")</f>
        <v>#REF!</v>
      </c>
      <c r="CH6" t="e">
        <f>AND('財法所101-英文法務組'!#REF!,"AAAAAH4z71U=")</f>
        <v>#REF!</v>
      </c>
      <c r="CI6" t="e">
        <f>AND('財法所101-英文法務組'!#REF!,"AAAAAH4z71Y=")</f>
        <v>#REF!</v>
      </c>
      <c r="CJ6" t="e">
        <f>AND('財法所101-英文法務組'!#REF!,"AAAAAH4z71c=")</f>
        <v>#REF!</v>
      </c>
      <c r="CK6" t="e">
        <f>AND('財法所101-英文法務組'!#REF!,"AAAAAH4z71g=")</f>
        <v>#REF!</v>
      </c>
      <c r="CL6" t="e">
        <f>AND('財法所101-英文法務組'!#REF!,"AAAAAH4z71k=")</f>
        <v>#REF!</v>
      </c>
      <c r="CM6" t="e">
        <f>AND('財法所101-英文法務組'!#REF!,"AAAAAH4z71o=")</f>
        <v>#REF!</v>
      </c>
      <c r="CN6" t="e">
        <f>AND('財法所101-英文法務組'!#REF!,"AAAAAH4z71s=")</f>
        <v>#REF!</v>
      </c>
      <c r="CO6" t="e">
        <f>AND('財法所101-英文法務組'!#REF!,"AAAAAH4z71w=")</f>
        <v>#REF!</v>
      </c>
      <c r="CP6" t="e">
        <f>AND('財法所101-英文法務組'!#REF!,"AAAAAH4z710=")</f>
        <v>#REF!</v>
      </c>
      <c r="CQ6" t="e">
        <f>AND('財法所101-英文法務組'!#REF!,"AAAAAH4z714=")</f>
        <v>#REF!</v>
      </c>
      <c r="CR6" t="e">
        <f>AND('財法所101-英文法務組'!#REF!,"AAAAAH4z718=")</f>
        <v>#REF!</v>
      </c>
      <c r="CS6" t="e">
        <f>AND('財法所101-英文法務組'!#REF!,"AAAAAH4z72A=")</f>
        <v>#REF!</v>
      </c>
      <c r="CT6" t="e">
        <f>AND('財法所101-英文法務組'!#REF!,"AAAAAH4z72E=")</f>
        <v>#REF!</v>
      </c>
      <c r="CU6" t="e">
        <f>AND('財法所101-英文法務組'!#REF!,"AAAAAH4z72I=")</f>
        <v>#REF!</v>
      </c>
      <c r="CV6" t="e">
        <f>AND('財法所101-英文法務組'!#REF!,"AAAAAH4z72M=")</f>
        <v>#REF!</v>
      </c>
      <c r="CW6" t="e">
        <f>AND('財法所101-英文法務組'!#REF!,"AAAAAH4z72Q=")</f>
        <v>#REF!</v>
      </c>
      <c r="CX6" t="e">
        <f>AND('財法所101-英文法務組'!#REF!,"AAAAAH4z72U=")</f>
        <v>#REF!</v>
      </c>
      <c r="CY6" t="e">
        <f>AND('財法所101-英文法務組'!#REF!,"AAAAAH4z72Y=")</f>
        <v>#REF!</v>
      </c>
      <c r="CZ6" t="e">
        <f>AND('財法所101-英文法務組'!#REF!,"AAAAAH4z72c=")</f>
        <v>#REF!</v>
      </c>
      <c r="DA6" t="e">
        <f>AND('財法所101-英文法務組'!#REF!,"AAAAAH4z72g=")</f>
        <v>#REF!</v>
      </c>
      <c r="DB6" t="e">
        <f>AND('財法所101-英文法務組'!#REF!,"AAAAAH4z72k=")</f>
        <v>#REF!</v>
      </c>
      <c r="DC6" t="e">
        <f>AND('財法所101-英文法務組'!#REF!,"AAAAAH4z72o=")</f>
        <v>#REF!</v>
      </c>
      <c r="DD6" t="e">
        <f>AND('財法所101-英文法務組'!#REF!,"AAAAAH4z72s=")</f>
        <v>#REF!</v>
      </c>
      <c r="DE6" t="e">
        <f>AND('財法所101-英文法務組'!#REF!,"AAAAAH4z72w=")</f>
        <v>#REF!</v>
      </c>
      <c r="DF6" t="e">
        <f>AND('財法所101-英文法務組'!#REF!,"AAAAAH4z720=")</f>
        <v>#REF!</v>
      </c>
      <c r="DG6" t="e">
        <f>AND('財法所101-英文法務組'!#REF!,"AAAAAH4z724=")</f>
        <v>#REF!</v>
      </c>
      <c r="DH6" t="e">
        <f>AND('財法所101-英文法務組'!#REF!,"AAAAAH4z728=")</f>
        <v>#REF!</v>
      </c>
      <c r="DI6" t="e">
        <f>AND('財法所101-英文法務組'!#REF!,"AAAAAH4z73A=")</f>
        <v>#REF!</v>
      </c>
      <c r="DJ6" t="e">
        <f>AND('財法所101-英文法務組'!#REF!,"AAAAAH4z73E=")</f>
        <v>#REF!</v>
      </c>
      <c r="DK6" t="e">
        <f>AND('財法所101-英文法務組'!#REF!,"AAAAAH4z73I=")</f>
        <v>#REF!</v>
      </c>
      <c r="DL6" t="e">
        <f>AND('財法所101-英文法務組'!#REF!,"AAAAAH4z73M=")</f>
        <v>#REF!</v>
      </c>
      <c r="DM6" t="e">
        <f>AND('財法所101-英文法務組'!#REF!,"AAAAAH4z73Q=")</f>
        <v>#REF!</v>
      </c>
      <c r="DN6" t="e">
        <f>AND('財法所101-英文法務組'!#REF!,"AAAAAH4z73U=")</f>
        <v>#REF!</v>
      </c>
      <c r="DO6" t="e">
        <f>AND('財法所101-英文法務組'!#REF!,"AAAAAH4z73Y=")</f>
        <v>#REF!</v>
      </c>
      <c r="DP6" t="e">
        <f>AND('財法所101-英文法務組'!#REF!,"AAAAAH4z73c=")</f>
        <v>#REF!</v>
      </c>
      <c r="DQ6" t="e">
        <f>AND('財法所101-英文法務組'!#REF!,"AAAAAH4z73g=")</f>
        <v>#REF!</v>
      </c>
      <c r="DR6" t="e">
        <f>AND('財法所101-英文法務組'!#REF!,"AAAAAH4z73k=")</f>
        <v>#REF!</v>
      </c>
      <c r="DS6" t="e">
        <f>AND('財法所101-英文法務組'!#REF!,"AAAAAH4z73o=")</f>
        <v>#REF!</v>
      </c>
      <c r="DT6" t="e">
        <f>AND('財法所101-英文法務組'!#REF!,"AAAAAH4z73s=")</f>
        <v>#REF!</v>
      </c>
      <c r="DU6" t="e">
        <f>AND('財法所101-英文法務組'!#REF!,"AAAAAH4z73w=")</f>
        <v>#REF!</v>
      </c>
      <c r="DV6" t="e">
        <f>AND('財法所101-英文法務組'!#REF!,"AAAAAH4z730=")</f>
        <v>#REF!</v>
      </c>
      <c r="DW6" t="e">
        <f>AND('財法所101-英文法務組'!#REF!,"AAAAAH4z734=")</f>
        <v>#REF!</v>
      </c>
      <c r="DX6" t="e">
        <f>AND('財法所101-英文法務組'!#REF!,"AAAAAH4z738=")</f>
        <v>#REF!</v>
      </c>
      <c r="DY6" t="e">
        <f>AND('財法所101-英文法務組'!#REF!,"AAAAAH4z74A=")</f>
        <v>#REF!</v>
      </c>
      <c r="DZ6" t="e">
        <f>AND('財法所101-英文法務組'!#REF!,"AAAAAH4z74E=")</f>
        <v>#REF!</v>
      </c>
      <c r="EA6" t="e">
        <f>AND('財法所101-英文法務組'!#REF!,"AAAAAH4z74I=")</f>
        <v>#REF!</v>
      </c>
      <c r="EB6" t="e">
        <f>AND('財法所101-英文法務組'!#REF!,"AAAAAH4z74M=")</f>
        <v>#REF!</v>
      </c>
      <c r="EC6" t="e">
        <f>AND('財法所101-英文法務組'!#REF!,"AAAAAH4z74Q=")</f>
        <v>#REF!</v>
      </c>
      <c r="ED6" t="e">
        <f>AND('財法所101-英文法務組'!#REF!,"AAAAAH4z74U=")</f>
        <v>#REF!</v>
      </c>
      <c r="EE6" t="e">
        <f>AND('財法所101-英文法務組'!#REF!,"AAAAAH4z74Y=")</f>
        <v>#REF!</v>
      </c>
      <c r="EF6" t="e">
        <f>AND('財法所101-英文法務組'!#REF!,"AAAAAH4z74c=")</f>
        <v>#REF!</v>
      </c>
      <c r="EG6" t="e">
        <f>AND('財法所101-英文法務組'!#REF!,"AAAAAH4z74g=")</f>
        <v>#REF!</v>
      </c>
      <c r="EH6" t="e">
        <f>AND('財法所101-英文法務組'!#REF!,"AAAAAH4z74k=")</f>
        <v>#REF!</v>
      </c>
      <c r="EI6" t="e">
        <f>AND('財法所101-英文法務組'!#REF!,"AAAAAH4z74o=")</f>
        <v>#REF!</v>
      </c>
      <c r="EJ6" t="e">
        <f>AND('財法所101-英文法務組'!#REF!,"AAAAAH4z74s=")</f>
        <v>#REF!</v>
      </c>
      <c r="EK6" t="e">
        <f>AND('財法所101-英文法務組'!#REF!,"AAAAAH4z74w=")</f>
        <v>#REF!</v>
      </c>
      <c r="EL6" t="e">
        <f>AND('財法所101-英文法務組'!#REF!,"AAAAAH4z740=")</f>
        <v>#REF!</v>
      </c>
      <c r="EM6" t="e">
        <f>AND('財法所101-英文法務組'!#REF!,"AAAAAH4z744=")</f>
        <v>#REF!</v>
      </c>
      <c r="EN6" t="e">
        <f>AND('財法所101-英文法務組'!#REF!,"AAAAAH4z748=")</f>
        <v>#REF!</v>
      </c>
      <c r="EO6" t="e">
        <f>AND('財法所101-英文法務組'!#REF!,"AAAAAH4z75A=")</f>
        <v>#REF!</v>
      </c>
      <c r="EP6" t="e">
        <f>AND('財法所101-英文法務組'!#REF!,"AAAAAH4z75E=")</f>
        <v>#REF!</v>
      </c>
      <c r="EQ6" t="e">
        <f>AND('財法所101-英文法務組'!#REF!,"AAAAAH4z75I=")</f>
        <v>#REF!</v>
      </c>
      <c r="ER6" t="e">
        <f>AND('財法所101-英文法務組'!#REF!,"AAAAAH4z75M=")</f>
        <v>#REF!</v>
      </c>
      <c r="ES6" t="e">
        <f>AND('財法所101-英文法務組'!#REF!,"AAAAAH4z75Q=")</f>
        <v>#REF!</v>
      </c>
      <c r="ET6" t="e">
        <f>AND('財法所101-英文法務組'!#REF!,"AAAAAH4z75U=")</f>
        <v>#REF!</v>
      </c>
      <c r="EU6" t="e">
        <f>AND('財法所101-英文法務組'!#REF!,"AAAAAH4z75Y=")</f>
        <v>#REF!</v>
      </c>
      <c r="EV6" t="e">
        <f>AND('財法所101-英文法務組'!#REF!,"AAAAAH4z75c=")</f>
        <v>#REF!</v>
      </c>
      <c r="EW6" t="e">
        <f>AND('財法所101-英文法務組'!#REF!,"AAAAAH4z75g=")</f>
        <v>#REF!</v>
      </c>
      <c r="EX6" t="e">
        <f>AND('財法所101-英文法務組'!#REF!,"AAAAAH4z75k=")</f>
        <v>#REF!</v>
      </c>
      <c r="EY6" t="e">
        <f>AND('財法所101-英文法務組'!#REF!,"AAAAAH4z75o=")</f>
        <v>#REF!</v>
      </c>
      <c r="EZ6" t="e">
        <f>AND('財法所101-英文法務組'!#REF!,"AAAAAH4z75s=")</f>
        <v>#REF!</v>
      </c>
      <c r="FA6" t="e">
        <f>AND('財法所101-英文法務組'!#REF!,"AAAAAH4z75w=")</f>
        <v>#REF!</v>
      </c>
      <c r="FB6" t="e">
        <f>AND('財法所101-英文法務組'!#REF!,"AAAAAH4z750=")</f>
        <v>#REF!</v>
      </c>
      <c r="FC6" t="e">
        <f>AND('財法所101-英文法務組'!#REF!,"AAAAAH4z754=")</f>
        <v>#REF!</v>
      </c>
      <c r="FD6" t="e">
        <f>AND('財法所101-英文法務組'!#REF!,"AAAAAH4z758=")</f>
        <v>#REF!</v>
      </c>
      <c r="FE6" t="e">
        <f>AND('財法所101-英文法務組'!#REF!,"AAAAAH4z76A=")</f>
        <v>#REF!</v>
      </c>
      <c r="FF6" t="e">
        <f>AND('財法所101-英文法務組'!#REF!,"AAAAAH4z76E=")</f>
        <v>#REF!</v>
      </c>
      <c r="FG6" t="e">
        <f>AND('財法所101-英文法務組'!#REF!,"AAAAAH4z76I=")</f>
        <v>#REF!</v>
      </c>
      <c r="FH6" t="e">
        <f>AND('財法所101-英文法務組'!#REF!,"AAAAAH4z76M=")</f>
        <v>#REF!</v>
      </c>
      <c r="FI6" t="e">
        <f>AND('財法所101-英文法務組'!#REF!,"AAAAAH4z76Q=")</f>
        <v>#REF!</v>
      </c>
      <c r="FJ6" t="e">
        <f>AND('財法所101-英文法務組'!#REF!,"AAAAAH4z76U=")</f>
        <v>#REF!</v>
      </c>
      <c r="FK6" t="e">
        <f>AND('財法所101-英文法務組'!#REF!,"AAAAAH4z76Y=")</f>
        <v>#REF!</v>
      </c>
      <c r="FL6" t="e">
        <f>AND('財法所101-英文法務組'!#REF!,"AAAAAH4z76c=")</f>
        <v>#REF!</v>
      </c>
      <c r="FM6" t="e">
        <f>AND('財法所101-英文法務組'!#REF!,"AAAAAH4z76g=")</f>
        <v>#REF!</v>
      </c>
      <c r="FN6" t="e">
        <f>AND('財法所101-英文法務組'!#REF!,"AAAAAH4z76k=")</f>
        <v>#REF!</v>
      </c>
      <c r="FO6" t="e">
        <f>AND('財法所101-英文法務組'!#REF!,"AAAAAH4z76o=")</f>
        <v>#REF!</v>
      </c>
      <c r="FP6" t="e">
        <f>AND('財法所101-英文法務組'!#REF!,"AAAAAH4z76s=")</f>
        <v>#REF!</v>
      </c>
      <c r="FQ6" t="e">
        <f>AND('財法所101-英文法務組'!#REF!,"AAAAAH4z76w=")</f>
        <v>#REF!</v>
      </c>
      <c r="FR6" t="e">
        <f>AND('財法所101-英文法務組'!#REF!,"AAAAAH4z760=")</f>
        <v>#REF!</v>
      </c>
      <c r="FS6" t="e">
        <f>AND('財法所101-英文法務組'!#REF!,"AAAAAH4z764=")</f>
        <v>#REF!</v>
      </c>
      <c r="FT6" t="e">
        <f>AND('財法所101-英文法務組'!#REF!,"AAAAAH4z768=")</f>
        <v>#REF!</v>
      </c>
      <c r="FU6" t="e">
        <f>AND('財法所101-英文法務組'!#REF!,"AAAAAH4z77A=")</f>
        <v>#REF!</v>
      </c>
      <c r="FV6" t="e">
        <f>AND('財法所101-英文法務組'!#REF!,"AAAAAH4z77E=")</f>
        <v>#REF!</v>
      </c>
      <c r="FW6" t="e">
        <f>AND('財法所101-英文法務組'!#REF!,"AAAAAH4z77I=")</f>
        <v>#REF!</v>
      </c>
      <c r="FX6" t="e">
        <f>AND('財法所101-英文法務組'!#REF!,"AAAAAH4z77M=")</f>
        <v>#REF!</v>
      </c>
      <c r="FY6" t="e">
        <f>AND('財法所101-英文法務組'!#REF!,"AAAAAH4z77Q=")</f>
        <v>#REF!</v>
      </c>
      <c r="FZ6" t="e">
        <f>AND('財法所101-英文法務組'!#REF!,"AAAAAH4z77U=")</f>
        <v>#REF!</v>
      </c>
      <c r="GA6" t="e">
        <f>AND('財法所101-英文法務組'!#REF!,"AAAAAH4z77Y=")</f>
        <v>#REF!</v>
      </c>
      <c r="GB6" t="e">
        <f>AND('財法所101-英文法務組'!#REF!,"AAAAAH4z77c=")</f>
        <v>#REF!</v>
      </c>
      <c r="GC6" t="e">
        <f>AND('財法所101-英文法務組'!#REF!,"AAAAAH4z77g=")</f>
        <v>#REF!</v>
      </c>
      <c r="GD6" t="e">
        <f>AND('財法所101-英文法務組'!#REF!,"AAAAAH4z77k=")</f>
        <v>#REF!</v>
      </c>
      <c r="GE6" t="e">
        <f>AND('財法所101-英文法務組'!#REF!,"AAAAAH4z77o=")</f>
        <v>#REF!</v>
      </c>
      <c r="GF6" t="e">
        <f>AND('財法所101-英文法務組'!#REF!,"AAAAAH4z77s=")</f>
        <v>#REF!</v>
      </c>
      <c r="GG6" t="e">
        <f>AND('財法所101-英文法務組'!#REF!,"AAAAAH4z77w=")</f>
        <v>#REF!</v>
      </c>
      <c r="GH6" t="e">
        <f>AND('財法所101-英文法務組'!#REF!,"AAAAAH4z770=")</f>
        <v>#REF!</v>
      </c>
      <c r="GI6" t="e">
        <f>AND('財法所101-英文法務組'!#REF!,"AAAAAH4z774=")</f>
        <v>#REF!</v>
      </c>
      <c r="GJ6" t="e">
        <f>AND('財法所101-英文法務組'!#REF!,"AAAAAH4z778=")</f>
        <v>#REF!</v>
      </c>
      <c r="GK6" t="e">
        <f>AND('財法所101-英文法務組'!#REF!,"AAAAAH4z78A=")</f>
        <v>#REF!</v>
      </c>
      <c r="GL6" t="e">
        <f>AND('財法所101-英文法務組'!#REF!,"AAAAAH4z78E=")</f>
        <v>#REF!</v>
      </c>
      <c r="GM6" t="e">
        <f>AND('財法所101-英文法務組'!#REF!,"AAAAAH4z78I=")</f>
        <v>#REF!</v>
      </c>
      <c r="GN6" t="e">
        <f>AND('財法所101-英文法務組'!#REF!,"AAAAAH4z78M=")</f>
        <v>#REF!</v>
      </c>
      <c r="GO6" t="e">
        <f>AND('財法所101-英文法務組'!#REF!,"AAAAAH4z78Q=")</f>
        <v>#REF!</v>
      </c>
      <c r="GP6" t="e">
        <f>AND('財法所101-英文法務組'!#REF!,"AAAAAH4z78U=")</f>
        <v>#REF!</v>
      </c>
      <c r="GQ6" t="e">
        <f>AND('財法所101-英文法務組'!#REF!,"AAAAAH4z78Y=")</f>
        <v>#REF!</v>
      </c>
      <c r="GR6" t="e">
        <f>AND('財法所101-英文法務組'!#REF!,"AAAAAH4z78c=")</f>
        <v>#REF!</v>
      </c>
      <c r="GS6" t="e">
        <f>AND('財法所101-英文法務組'!#REF!,"AAAAAH4z78g=")</f>
        <v>#REF!</v>
      </c>
      <c r="GT6" t="e">
        <f>AND('財法所101-英文法務組'!#REF!,"AAAAAH4z78k=")</f>
        <v>#REF!</v>
      </c>
      <c r="GU6" t="e">
        <f>AND('財法所101-英文法務組'!#REF!,"AAAAAH4z78o=")</f>
        <v>#REF!</v>
      </c>
      <c r="GV6" t="e">
        <f>AND('財法所101-英文法務組'!#REF!,"AAAAAH4z78s=")</f>
        <v>#REF!</v>
      </c>
      <c r="GW6" t="e">
        <f>AND('財法所101-英文法務組'!#REF!,"AAAAAH4z78w=")</f>
        <v>#REF!</v>
      </c>
      <c r="GX6" t="e">
        <f>AND('財法所101-英文法務組'!#REF!,"AAAAAH4z780=")</f>
        <v>#REF!</v>
      </c>
      <c r="GY6" t="e">
        <f>AND('財法所101-英文法務組'!#REF!,"AAAAAH4z784=")</f>
        <v>#REF!</v>
      </c>
      <c r="GZ6" t="e">
        <f>AND('財法所101-英文法務組'!#REF!,"AAAAAH4z788=")</f>
        <v>#REF!</v>
      </c>
      <c r="HA6" t="e">
        <f>AND('財法所101-英文法務組'!#REF!,"AAAAAH4z79A=")</f>
        <v>#REF!</v>
      </c>
      <c r="HB6" t="e">
        <f>AND('財法所101-英文法務組'!#REF!,"AAAAAH4z79E=")</f>
        <v>#REF!</v>
      </c>
      <c r="HC6" t="e">
        <f>AND('財法所101-英文法務組'!#REF!,"AAAAAH4z79I=")</f>
        <v>#REF!</v>
      </c>
      <c r="HD6" t="e">
        <f>AND('財法所101-英文法務組'!#REF!,"AAAAAH4z79M=")</f>
        <v>#REF!</v>
      </c>
      <c r="HE6" t="e">
        <f>AND('財法所101-英文法務組'!#REF!,"AAAAAH4z79Q=")</f>
        <v>#REF!</v>
      </c>
      <c r="HF6" t="e">
        <f>AND('財法所101-英文法務組'!#REF!,"AAAAAH4z79U=")</f>
        <v>#REF!</v>
      </c>
      <c r="HG6" t="e">
        <f>AND('財法所101-英文法務組'!#REF!,"AAAAAH4z79Y=")</f>
        <v>#REF!</v>
      </c>
      <c r="HH6" t="e">
        <f>AND('財法所101-英文法務組'!#REF!,"AAAAAH4z79c=")</f>
        <v>#REF!</v>
      </c>
      <c r="HI6" t="e">
        <f>AND('財法所101-英文法務組'!#REF!,"AAAAAH4z79g=")</f>
        <v>#REF!</v>
      </c>
      <c r="HJ6" t="e">
        <f>AND('財法所101-英文法務組'!#REF!,"AAAAAH4z79k=")</f>
        <v>#REF!</v>
      </c>
      <c r="HK6" t="e">
        <f>AND('財法所101-英文法務組'!#REF!,"AAAAAH4z79o=")</f>
        <v>#REF!</v>
      </c>
      <c r="HL6" t="e">
        <f>AND('財法所101-英文法務組'!#REF!,"AAAAAH4z79s=")</f>
        <v>#REF!</v>
      </c>
      <c r="HM6" t="e">
        <f>AND('財法所101-英文法務組'!#REF!,"AAAAAH4z79w=")</f>
        <v>#REF!</v>
      </c>
      <c r="HN6" t="e">
        <f>AND('財法所101-英文法務組'!#REF!,"AAAAAH4z790=")</f>
        <v>#REF!</v>
      </c>
      <c r="HO6" t="e">
        <f>AND('財法所101-英文法務組'!#REF!,"AAAAAH4z794=")</f>
        <v>#REF!</v>
      </c>
      <c r="HP6" t="e">
        <f>AND('財法所101-英文法務組'!#REF!,"AAAAAH4z798=")</f>
        <v>#REF!</v>
      </c>
      <c r="HQ6" t="e">
        <f>AND('財法所101-英文法務組'!#REF!,"AAAAAH4z7+A=")</f>
        <v>#REF!</v>
      </c>
      <c r="HR6" t="e">
        <f>AND('財法所101-英文法務組'!#REF!,"AAAAAH4z7+E=")</f>
        <v>#REF!</v>
      </c>
      <c r="HS6" t="e">
        <f>AND('財法所101-英文法務組'!#REF!,"AAAAAH4z7+I=")</f>
        <v>#REF!</v>
      </c>
      <c r="HT6" t="e">
        <f>AND('財法所101-英文法務組'!#REF!,"AAAAAH4z7+M=")</f>
        <v>#REF!</v>
      </c>
      <c r="HU6" t="e">
        <f>AND('財法所101-英文法務組'!#REF!,"AAAAAH4z7+Q=")</f>
        <v>#REF!</v>
      </c>
      <c r="HV6" t="e">
        <f>AND('財法所101-英文法務組'!#REF!,"AAAAAH4z7+U=")</f>
        <v>#REF!</v>
      </c>
      <c r="HW6" t="e">
        <f>AND('財法所101-英文法務組'!#REF!,"AAAAAH4z7+Y=")</f>
        <v>#REF!</v>
      </c>
      <c r="HX6" t="e">
        <f>AND('財法所101-英文法務組'!#REF!,"AAAAAH4z7+c=")</f>
        <v>#REF!</v>
      </c>
      <c r="HY6" t="e">
        <f>AND('財法所101-英文法務組'!#REF!,"AAAAAH4z7+g=")</f>
        <v>#REF!</v>
      </c>
      <c r="HZ6" t="e">
        <f>AND('財法所101-英文法務組'!#REF!,"AAAAAH4z7+k=")</f>
        <v>#REF!</v>
      </c>
      <c r="IA6" t="e">
        <f>AND('財法所101-英文法務組'!#REF!,"AAAAAH4z7+o=")</f>
        <v>#REF!</v>
      </c>
      <c r="IB6" t="e">
        <f>AND('財法所101-英文法務組'!#REF!,"AAAAAH4z7+s=")</f>
        <v>#REF!</v>
      </c>
      <c r="IC6" t="e">
        <f>AND('財法所101-英文法務組'!#REF!,"AAAAAH4z7+w=")</f>
        <v>#REF!</v>
      </c>
      <c r="ID6" t="e">
        <f>AND('財法所101-英文法務組'!#REF!,"AAAAAH4z7+0=")</f>
        <v>#REF!</v>
      </c>
      <c r="IE6" t="e">
        <f>AND('財法所101-英文法務組'!#REF!,"AAAAAH4z7+4=")</f>
        <v>#REF!</v>
      </c>
      <c r="IF6" t="e">
        <f>AND('財法所101-英文法務組'!#REF!,"AAAAAH4z7+8=")</f>
        <v>#REF!</v>
      </c>
      <c r="IG6" t="e">
        <f>AND('財法所101-英文法務組'!#REF!,"AAAAAH4z7/A=")</f>
        <v>#REF!</v>
      </c>
      <c r="IH6" t="e">
        <f>AND('財法所101-英文法務組'!#REF!,"AAAAAH4z7/E=")</f>
        <v>#REF!</v>
      </c>
      <c r="II6" t="e">
        <f>AND('財法所101-英文法務組'!#REF!,"AAAAAH4z7/I=")</f>
        <v>#REF!</v>
      </c>
      <c r="IJ6" t="e">
        <f>AND('財法所101-英文法務組'!#REF!,"AAAAAH4z7/M=")</f>
        <v>#REF!</v>
      </c>
      <c r="IK6" t="e">
        <f>AND('財法所101-英文法務組'!#REF!,"AAAAAH4z7/Q=")</f>
        <v>#REF!</v>
      </c>
      <c r="IL6" t="e">
        <f>AND('財法所101-英文法務組'!#REF!,"AAAAAH4z7/U=")</f>
        <v>#REF!</v>
      </c>
      <c r="IM6" t="e">
        <f>AND('財法所101-英文法務組'!#REF!,"AAAAAH4z7/Y=")</f>
        <v>#REF!</v>
      </c>
      <c r="IN6" t="e">
        <f>AND('財法所101-英文法務組'!#REF!,"AAAAAH4z7/c=")</f>
        <v>#REF!</v>
      </c>
      <c r="IO6" t="e">
        <f>AND('財法所101-英文法務組'!#REF!,"AAAAAH4z7/g=")</f>
        <v>#REF!</v>
      </c>
      <c r="IP6" t="e">
        <f>AND('財法所101-英文法務組'!#REF!,"AAAAAH4z7/k=")</f>
        <v>#REF!</v>
      </c>
      <c r="IQ6" t="e">
        <f>AND('財法所101-英文法務組'!#REF!,"AAAAAH4z7/o=")</f>
        <v>#REF!</v>
      </c>
      <c r="IR6" t="e">
        <f>AND('財法所101-英文法務組'!#REF!,"AAAAAH4z7/s=")</f>
        <v>#REF!</v>
      </c>
      <c r="IS6" t="e">
        <f>AND('財法所101-英文法務組'!#REF!,"AAAAAH4z7/w=")</f>
        <v>#REF!</v>
      </c>
      <c r="IT6" t="e">
        <f>AND('財法所101-英文法務組'!#REF!,"AAAAAH4z7/0=")</f>
        <v>#REF!</v>
      </c>
      <c r="IU6" t="e">
        <f>AND('財法所101-英文法務組'!#REF!,"AAAAAH4z7/4=")</f>
        <v>#REF!</v>
      </c>
      <c r="IV6" t="e">
        <f>AND('財法所101-英文法務組'!#REF!,"AAAAAH4z7/8=")</f>
        <v>#REF!</v>
      </c>
    </row>
    <row r="7" spans="1:256">
      <c r="A7" t="e">
        <f>AND('財法所101-英文法務組'!#REF!,"AAAAACbyswA=")</f>
        <v>#REF!</v>
      </c>
      <c r="B7" t="e">
        <f>AND('財法所101-英文法務組'!#REF!,"AAAAACbyswE=")</f>
        <v>#REF!</v>
      </c>
      <c r="C7" t="e">
        <f>AND('財法所101-英文法務組'!#REF!,"AAAAACbyswI=")</f>
        <v>#REF!</v>
      </c>
      <c r="D7" t="e">
        <f>AND('財法所101-英文法務組'!#REF!,"AAAAACbyswM=")</f>
        <v>#REF!</v>
      </c>
      <c r="E7" t="e">
        <f>AND('財法所101-英文法務組'!#REF!,"AAAAACbyswQ=")</f>
        <v>#REF!</v>
      </c>
      <c r="F7" t="e">
        <f>AND('財法所101-英文法務組'!#REF!,"AAAAACbyswU=")</f>
        <v>#REF!</v>
      </c>
      <c r="G7" t="e">
        <f>AND('財法所101-英文法務組'!#REF!,"AAAAACbyswY=")</f>
        <v>#REF!</v>
      </c>
      <c r="H7" t="e">
        <f>AND('財法所101-英文法務組'!#REF!,"AAAAACbyswc=")</f>
        <v>#REF!</v>
      </c>
      <c r="I7" t="e">
        <f>AND('財法所101-英文法務組'!#REF!,"AAAAACbyswg=")</f>
        <v>#REF!</v>
      </c>
      <c r="J7" t="e">
        <f>AND('財法所101-英文法務組'!#REF!,"AAAAACbyswk=")</f>
        <v>#REF!</v>
      </c>
      <c r="K7" t="e">
        <f>AND('財法所101-英文法務組'!#REF!,"AAAAACbyswo=")</f>
        <v>#REF!</v>
      </c>
      <c r="L7" t="e">
        <f>AND('財法所101-英文法務組'!#REF!,"AAAAACbysws=")</f>
        <v>#REF!</v>
      </c>
      <c r="M7" t="e">
        <f>AND('財法所101-英文法務組'!#REF!,"AAAAACbysww=")</f>
        <v>#REF!</v>
      </c>
      <c r="N7" t="e">
        <f>AND('財法所101-英文法務組'!#REF!,"AAAAACbysw0=")</f>
        <v>#REF!</v>
      </c>
      <c r="O7" t="e">
        <f>AND('財法所101-英文法務組'!#REF!,"AAAAACbysw4=")</f>
        <v>#REF!</v>
      </c>
      <c r="P7" t="e">
        <f>AND('財法所101-英文法務組'!#REF!,"AAAAACbysw8=")</f>
        <v>#REF!</v>
      </c>
      <c r="Q7" t="e">
        <f>AND('財法所101-英文法務組'!#REF!,"AAAAACbysxA=")</f>
        <v>#REF!</v>
      </c>
      <c r="R7" t="e">
        <f>AND('財法所101-英文法務組'!#REF!,"AAAAACbysxE=")</f>
        <v>#REF!</v>
      </c>
      <c r="S7" t="e">
        <f>AND('財法所101-英文法務組'!#REF!,"AAAAACbysxI=")</f>
        <v>#REF!</v>
      </c>
      <c r="T7" t="e">
        <f>AND('財法所101-英文法務組'!#REF!,"AAAAACbysxM=")</f>
        <v>#REF!</v>
      </c>
      <c r="U7" t="e">
        <f>AND('財法所101-英文法務組'!#REF!,"AAAAACbysxQ=")</f>
        <v>#REF!</v>
      </c>
      <c r="V7" t="e">
        <f>AND('財法所101-英文法務組'!#REF!,"AAAAACbysxU=")</f>
        <v>#REF!</v>
      </c>
      <c r="W7" t="e">
        <f>AND('財法所101-英文法務組'!#REF!,"AAAAACbysxY=")</f>
        <v>#REF!</v>
      </c>
      <c r="X7" t="e">
        <f>AND('財法所101-英文法務組'!#REF!,"AAAAACbysxc=")</f>
        <v>#REF!</v>
      </c>
      <c r="Y7" t="e">
        <f>AND('財法所101-英文法務組'!#REF!,"AAAAACbysxg=")</f>
        <v>#REF!</v>
      </c>
      <c r="Z7" t="e">
        <f>AND('財法所101-英文法務組'!#REF!,"AAAAACbysxk=")</f>
        <v>#REF!</v>
      </c>
      <c r="AA7" t="e">
        <f>AND('財法所101-英文法務組'!#REF!,"AAAAACbysxo=")</f>
        <v>#REF!</v>
      </c>
      <c r="AB7" t="e">
        <f>AND('財法所101-英文法務組'!#REF!,"AAAAACbysxs=")</f>
        <v>#REF!</v>
      </c>
      <c r="AC7" t="e">
        <f>AND('財法所101-英文法務組'!#REF!,"AAAAACbysxw=")</f>
        <v>#REF!</v>
      </c>
      <c r="AD7" t="e">
        <f>AND('財法所101-英文法務組'!#REF!,"AAAAACbysx0=")</f>
        <v>#REF!</v>
      </c>
      <c r="AE7" t="e">
        <f>AND('財法所101-英文法務組'!#REF!,"AAAAACbysx4=")</f>
        <v>#REF!</v>
      </c>
      <c r="AF7" t="e">
        <f>AND('財法所101-英文法務組'!#REF!,"AAAAACbysx8=")</f>
        <v>#REF!</v>
      </c>
      <c r="AG7" t="e">
        <f>AND('財法所101-英文法務組'!#REF!,"AAAAACbysyA=")</f>
        <v>#REF!</v>
      </c>
      <c r="AH7" t="e">
        <f>AND('財法所101-英文法務組'!#REF!,"AAAAACbysyE=")</f>
        <v>#REF!</v>
      </c>
      <c r="AI7" t="e">
        <f>AND('財法所101-英文法務組'!#REF!,"AAAAACbysyI=")</f>
        <v>#REF!</v>
      </c>
      <c r="AJ7" t="e">
        <f>AND('財法所101-英文法務組'!#REF!,"AAAAACbysyM=")</f>
        <v>#REF!</v>
      </c>
      <c r="AK7" t="e">
        <f>AND('財法所101-英文法務組'!#REF!,"AAAAACbysyQ=")</f>
        <v>#REF!</v>
      </c>
      <c r="AL7" t="e">
        <f>AND('財法所101-英文法務組'!#REF!,"AAAAACbysyU=")</f>
        <v>#REF!</v>
      </c>
      <c r="AM7" t="e">
        <f>AND('財法所101-英文法務組'!#REF!,"AAAAACbysyY=")</f>
        <v>#REF!</v>
      </c>
      <c r="AN7" t="e">
        <f>AND('財法所101-英文法務組'!#REF!,"AAAAACbysyc=")</f>
        <v>#REF!</v>
      </c>
      <c r="AO7" t="e">
        <f>AND('財法所101-英文法務組'!#REF!,"AAAAACbysyg=")</f>
        <v>#REF!</v>
      </c>
      <c r="AP7" t="e">
        <f>AND('財法所101-英文法務組'!#REF!,"AAAAACbysyk=")</f>
        <v>#REF!</v>
      </c>
      <c r="AQ7" t="e">
        <f>AND('財法所101-英文法務組'!#REF!,"AAAAACbysyo=")</f>
        <v>#REF!</v>
      </c>
      <c r="AR7" t="e">
        <f>AND('財法所101-英文法務組'!#REF!,"AAAAACbysys=")</f>
        <v>#REF!</v>
      </c>
      <c r="AS7" t="e">
        <f>AND('財法所101-英文法務組'!#REF!,"AAAAACbysyw=")</f>
        <v>#REF!</v>
      </c>
      <c r="AT7" t="e">
        <f>AND('財法所101-英文法務組'!#REF!,"AAAAACbysy0=")</f>
        <v>#REF!</v>
      </c>
      <c r="AU7" t="e">
        <f>AND('財法所101-英文法務組'!#REF!,"AAAAACbysy4=")</f>
        <v>#REF!</v>
      </c>
      <c r="AV7" t="e">
        <f>AND('財法所101-英文法務組'!#REF!,"AAAAACbysy8=")</f>
        <v>#REF!</v>
      </c>
      <c r="AW7" t="e">
        <f>AND('財法所101-英文法務組'!#REF!,"AAAAACbyszA=")</f>
        <v>#REF!</v>
      </c>
      <c r="AX7" t="e">
        <f>AND('財法所101-英文法務組'!#REF!,"AAAAACbyszE=")</f>
        <v>#REF!</v>
      </c>
      <c r="AY7" t="e">
        <f>AND('財法所101-英文法務組'!#REF!,"AAAAACbyszI=")</f>
        <v>#REF!</v>
      </c>
      <c r="AZ7" t="e">
        <f>AND('財法所101-英文法務組'!#REF!,"AAAAACbyszM=")</f>
        <v>#REF!</v>
      </c>
      <c r="BA7" t="e">
        <f>AND('財法所101-英文法務組'!#REF!,"AAAAACbyszQ=")</f>
        <v>#REF!</v>
      </c>
      <c r="BB7" t="e">
        <f>AND('財法所101-英文法務組'!#REF!,"AAAAACbyszU=")</f>
        <v>#REF!</v>
      </c>
      <c r="BC7" t="e">
        <f>AND('財法所101-英文法務組'!#REF!,"AAAAACbyszY=")</f>
        <v>#REF!</v>
      </c>
      <c r="BD7" t="e">
        <f>AND('財法所101-英文法務組'!#REF!,"AAAAACbyszc=")</f>
        <v>#REF!</v>
      </c>
      <c r="BE7" t="e">
        <f>AND('財法所101-英文法務組'!#REF!,"AAAAACbyszg=")</f>
        <v>#REF!</v>
      </c>
      <c r="BF7" t="e">
        <f>AND('財法所101-英文法務組'!#REF!,"AAAAACbyszk=")</f>
        <v>#REF!</v>
      </c>
      <c r="BG7" t="e">
        <f>AND('財法所101-英文法務組'!#REF!,"AAAAACbyszo=")</f>
        <v>#REF!</v>
      </c>
      <c r="BH7" t="e">
        <f>AND('財法所101-英文法務組'!#REF!,"AAAAACbyszs=")</f>
        <v>#REF!</v>
      </c>
      <c r="BI7" t="e">
        <f>AND('財法所101-英文法務組'!#REF!,"AAAAACbyszw=")</f>
        <v>#REF!</v>
      </c>
      <c r="BJ7" t="e">
        <f>AND('財法所101-英文法務組'!#REF!,"AAAAACbysz0=")</f>
        <v>#REF!</v>
      </c>
      <c r="BK7" t="e">
        <f>AND('財法所101-英文法務組'!#REF!,"AAAAACbysz4=")</f>
        <v>#REF!</v>
      </c>
      <c r="BL7" t="e">
        <f>AND('財法所101-英文法務組'!#REF!,"AAAAACbysz8=")</f>
        <v>#REF!</v>
      </c>
      <c r="BM7" t="e">
        <f>AND('財法所101-英文法務組'!#REF!,"AAAAACbys0A=")</f>
        <v>#REF!</v>
      </c>
      <c r="BN7" t="e">
        <f>AND('財法所101-英文法務組'!#REF!,"AAAAACbys0E=")</f>
        <v>#REF!</v>
      </c>
      <c r="BO7" t="e">
        <f>AND('財法所101-英文法務組'!#REF!,"AAAAACbys0I=")</f>
        <v>#REF!</v>
      </c>
      <c r="BP7" t="e">
        <f>AND('財法所101-英文法務組'!#REF!,"AAAAACbys0M=")</f>
        <v>#REF!</v>
      </c>
      <c r="BQ7" t="e">
        <f>AND('財法所101-英文法務組'!#REF!,"AAAAACbys0Q=")</f>
        <v>#REF!</v>
      </c>
      <c r="BR7" t="e">
        <f>AND('財法所101-英文法務組'!#REF!,"AAAAACbys0U=")</f>
        <v>#REF!</v>
      </c>
      <c r="BS7" t="e">
        <f>AND('財法所101-英文法務組'!#REF!,"AAAAACbys0Y=")</f>
        <v>#REF!</v>
      </c>
      <c r="BT7" t="e">
        <f>AND('財法所101-英文法務組'!#REF!,"AAAAACbys0c=")</f>
        <v>#REF!</v>
      </c>
      <c r="BU7" t="e">
        <f>AND('財法所101-英文法務組'!#REF!,"AAAAACbys0g=")</f>
        <v>#REF!</v>
      </c>
      <c r="BV7" t="e">
        <f>AND('財法所101-英文法務組'!#REF!,"AAAAACbys0k=")</f>
        <v>#REF!</v>
      </c>
      <c r="BW7" t="e">
        <f>AND('財法所101-英文法務組'!#REF!,"AAAAACbys0o=")</f>
        <v>#REF!</v>
      </c>
      <c r="BX7" t="e">
        <f>AND('財法所101-英文法務組'!#REF!,"AAAAACbys0s=")</f>
        <v>#REF!</v>
      </c>
      <c r="BY7" t="e">
        <f>AND('財法所101-英文法務組'!#REF!,"AAAAACbys0w=")</f>
        <v>#REF!</v>
      </c>
      <c r="BZ7" t="e">
        <f>AND('財法所101-英文法務組'!#REF!,"AAAAACbys00=")</f>
        <v>#REF!</v>
      </c>
      <c r="CA7" t="e">
        <f>AND('財法所101-英文法務組'!#REF!,"AAAAACbys04=")</f>
        <v>#REF!</v>
      </c>
      <c r="CB7" t="e">
        <f>AND('財法所101-英文法務組'!#REF!,"AAAAACbys08=")</f>
        <v>#REF!</v>
      </c>
      <c r="CC7" t="e">
        <f>AND('財法所101-英文法務組'!#REF!,"AAAAACbys1A=")</f>
        <v>#REF!</v>
      </c>
      <c r="CD7" t="e">
        <f>AND('財法所101-英文法務組'!#REF!,"AAAAACbys1E=")</f>
        <v>#REF!</v>
      </c>
      <c r="CE7" t="e">
        <f>AND('財法所101-英文法務組'!#REF!,"AAAAACbys1I=")</f>
        <v>#REF!</v>
      </c>
      <c r="CF7" t="e">
        <f>AND('財法所101-英文法務組'!#REF!,"AAAAACbys1M=")</f>
        <v>#REF!</v>
      </c>
      <c r="CG7" t="e">
        <f>AND('財法所101-英文法務組'!#REF!,"AAAAACbys1Q=")</f>
        <v>#REF!</v>
      </c>
      <c r="CH7" t="e">
        <f>AND('財法所101-英文法務組'!#REF!,"AAAAACbys1U=")</f>
        <v>#REF!</v>
      </c>
      <c r="CI7" t="e">
        <f>AND('財法所101-英文法務組'!#REF!,"AAAAACbys1Y=")</f>
        <v>#REF!</v>
      </c>
      <c r="CJ7" t="e">
        <f>AND('財法所101-英文法務組'!#REF!,"AAAAACbys1c=")</f>
        <v>#REF!</v>
      </c>
      <c r="CK7" t="e">
        <f>AND('財法所101-英文法務組'!#REF!,"AAAAACbys1g=")</f>
        <v>#REF!</v>
      </c>
      <c r="CL7" t="e">
        <f>AND('財法所101-英文法務組'!#REF!,"AAAAACbys1k=")</f>
        <v>#REF!</v>
      </c>
      <c r="CM7" t="e">
        <f>AND('財法所101-英文法務組'!#REF!,"AAAAACbys1o=")</f>
        <v>#REF!</v>
      </c>
      <c r="CN7" t="e">
        <f>AND('財法所101-英文法務組'!#REF!,"AAAAACbys1s=")</f>
        <v>#REF!</v>
      </c>
      <c r="CO7" t="e">
        <f>AND('財法所101-英文法務組'!#REF!,"AAAAACbys1w=")</f>
        <v>#REF!</v>
      </c>
      <c r="CP7" t="e">
        <f>AND('財法所101-英文法務組'!#REF!,"AAAAACbys10=")</f>
        <v>#REF!</v>
      </c>
      <c r="CQ7" t="e">
        <f>AND('財法所101-英文法務組'!#REF!,"AAAAACbys14=")</f>
        <v>#REF!</v>
      </c>
      <c r="CR7" t="e">
        <f>AND('財法所101-英文法務組'!#REF!,"AAAAACbys18=")</f>
        <v>#REF!</v>
      </c>
      <c r="CS7" t="e">
        <f>AND('財法所101-英文法務組'!#REF!,"AAAAACbys2A=")</f>
        <v>#REF!</v>
      </c>
      <c r="CT7" t="e">
        <f>AND('財法所101-英文法務組'!#REF!,"AAAAACbys2E=")</f>
        <v>#REF!</v>
      </c>
      <c r="CU7" t="e">
        <f>AND('財法所101-英文法務組'!#REF!,"AAAAACbys2I=")</f>
        <v>#REF!</v>
      </c>
      <c r="CV7" t="e">
        <f>AND('財法所101-英文法務組'!#REF!,"AAAAACbys2M=")</f>
        <v>#REF!</v>
      </c>
      <c r="CW7" t="e">
        <f>AND('財法所101-英文法務組'!#REF!,"AAAAACbys2Q=")</f>
        <v>#REF!</v>
      </c>
      <c r="CX7" t="e">
        <f>AND('財法所101-英文法務組'!#REF!,"AAAAACbys2U=")</f>
        <v>#REF!</v>
      </c>
      <c r="CY7" t="e">
        <f>AND('財法所101-英文法務組'!#REF!,"AAAAACbys2Y=")</f>
        <v>#REF!</v>
      </c>
      <c r="CZ7" t="e">
        <f>AND('財法所101-英文法務組'!#REF!,"AAAAACbys2c=")</f>
        <v>#REF!</v>
      </c>
      <c r="DA7" t="e">
        <f>AND('財法所101-英文法務組'!#REF!,"AAAAACbys2g=")</f>
        <v>#REF!</v>
      </c>
      <c r="DB7" t="e">
        <f>AND('財法所101-英文法務組'!#REF!,"AAAAACbys2k=")</f>
        <v>#REF!</v>
      </c>
      <c r="DC7" t="e">
        <f>AND('財法所101-英文法務組'!#REF!,"AAAAACbys2o=")</f>
        <v>#REF!</v>
      </c>
      <c r="DD7" t="e">
        <f>AND('財法所101-英文法務組'!#REF!,"AAAAACbys2s=")</f>
        <v>#REF!</v>
      </c>
      <c r="DE7" t="e">
        <f>AND('財法所101-英文法務組'!#REF!,"AAAAACbys2w=")</f>
        <v>#REF!</v>
      </c>
      <c r="DF7" t="e">
        <f>AND('財法所101-英文法務組'!#REF!,"AAAAACbys20=")</f>
        <v>#REF!</v>
      </c>
      <c r="DG7" t="e">
        <f>AND('財法所101-英文法務組'!#REF!,"AAAAACbys24=")</f>
        <v>#REF!</v>
      </c>
      <c r="DH7" t="e">
        <f>AND('財法所101-英文法務組'!#REF!,"AAAAACbys28=")</f>
        <v>#REF!</v>
      </c>
      <c r="DI7" t="e">
        <f>AND('財法所101-英文法務組'!#REF!,"AAAAACbys3A=")</f>
        <v>#REF!</v>
      </c>
      <c r="DJ7" t="e">
        <f>AND('財法所101-英文法務組'!#REF!,"AAAAACbys3E=")</f>
        <v>#REF!</v>
      </c>
      <c r="DK7" t="e">
        <f>AND('財法所101-英文法務組'!#REF!,"AAAAACbys3I=")</f>
        <v>#REF!</v>
      </c>
      <c r="DL7" t="e">
        <f>AND('財法所101-英文法務組'!#REF!,"AAAAACbys3M=")</f>
        <v>#REF!</v>
      </c>
      <c r="DM7" t="e">
        <f>AND('財法所101-英文法務組'!#REF!,"AAAAACbys3Q=")</f>
        <v>#REF!</v>
      </c>
      <c r="DN7" t="e">
        <f>AND('財法所101-英文法務組'!#REF!,"AAAAACbys3U=")</f>
        <v>#REF!</v>
      </c>
      <c r="DO7" t="e">
        <f>AND('財法所101-英文法務組'!#REF!,"AAAAACbys3Y=")</f>
        <v>#REF!</v>
      </c>
      <c r="DP7" t="e">
        <f>AND('財法所101-英文法務組'!#REF!,"AAAAACbys3c=")</f>
        <v>#REF!</v>
      </c>
      <c r="DQ7" t="e">
        <f>AND('財法所101-英文法務組'!#REF!,"AAAAACbys3g=")</f>
        <v>#REF!</v>
      </c>
      <c r="DR7" t="e">
        <f>AND('財法所101-英文法務組'!#REF!,"AAAAACbys3k=")</f>
        <v>#REF!</v>
      </c>
      <c r="DS7" t="e">
        <f>AND('財法所101-英文法務組'!#REF!,"AAAAACbys3o=")</f>
        <v>#REF!</v>
      </c>
      <c r="DT7" t="e">
        <f>AND('財法所101-英文法務組'!#REF!,"AAAAACbys3s=")</f>
        <v>#REF!</v>
      </c>
      <c r="DU7" t="e">
        <f>AND('財法所101-英文法務組'!#REF!,"AAAAACbys3w=")</f>
        <v>#REF!</v>
      </c>
      <c r="DV7" t="e">
        <f>AND('財法所101-英文法務組'!#REF!,"AAAAACbys30=")</f>
        <v>#REF!</v>
      </c>
      <c r="DW7" t="e">
        <f>AND('財法所101-英文法務組'!#REF!,"AAAAACbys34=")</f>
        <v>#REF!</v>
      </c>
      <c r="DX7" t="e">
        <f>AND('財法所101-英文法務組'!#REF!,"AAAAACbys38=")</f>
        <v>#REF!</v>
      </c>
      <c r="DY7" t="e">
        <f>AND('財法所101-英文法務組'!#REF!,"AAAAACbys4A=")</f>
        <v>#REF!</v>
      </c>
      <c r="DZ7" t="e">
        <f>AND('財法所101-英文法務組'!#REF!,"AAAAACbys4E=")</f>
        <v>#REF!</v>
      </c>
      <c r="EA7" t="e">
        <f>AND('財法所101-英文法務組'!#REF!,"AAAAACbys4I=")</f>
        <v>#REF!</v>
      </c>
      <c r="EB7" t="e">
        <f>AND('財法所101-英文法務組'!#REF!,"AAAAACbys4M=")</f>
        <v>#REF!</v>
      </c>
      <c r="EC7" t="e">
        <f>AND('財法所101-英文法務組'!#REF!,"AAAAACbys4Q=")</f>
        <v>#REF!</v>
      </c>
      <c r="ED7" t="e">
        <f>AND('財法所101-英文法務組'!#REF!,"AAAAACbys4U=")</f>
        <v>#REF!</v>
      </c>
      <c r="EE7" t="e">
        <f>AND('財法所101-英文法務組'!#REF!,"AAAAACbys4Y=")</f>
        <v>#REF!</v>
      </c>
      <c r="EF7" t="e">
        <f>AND('財法所101-英文法務組'!#REF!,"AAAAACbys4c=")</f>
        <v>#REF!</v>
      </c>
      <c r="EG7" t="e">
        <f>AND('財法所101-英文法務組'!#REF!,"AAAAACbys4g=")</f>
        <v>#REF!</v>
      </c>
      <c r="EH7" t="e">
        <f>AND('財法所101-英文法務組'!#REF!,"AAAAACbys4k=")</f>
        <v>#REF!</v>
      </c>
      <c r="EI7" t="e">
        <f>AND('財法所101-英文法務組'!#REF!,"AAAAACbys4o=")</f>
        <v>#REF!</v>
      </c>
      <c r="EJ7" t="e">
        <f>AND('財法所101-英文法務組'!#REF!,"AAAAACbys4s=")</f>
        <v>#REF!</v>
      </c>
      <c r="EK7" t="e">
        <f>AND('財法所101-英文法務組'!#REF!,"AAAAACbys4w=")</f>
        <v>#REF!</v>
      </c>
      <c r="EL7" t="e">
        <f>AND('財法所101-英文法務組'!#REF!,"AAAAACbys40=")</f>
        <v>#REF!</v>
      </c>
      <c r="EM7" t="e">
        <f>AND('財法所101-英文法務組'!#REF!,"AAAAACbys44=")</f>
        <v>#REF!</v>
      </c>
      <c r="EN7" t="e">
        <f>AND('財法所101-英文法務組'!#REF!,"AAAAACbys48=")</f>
        <v>#REF!</v>
      </c>
      <c r="EO7" t="e">
        <f>AND('財法所101-英文法務組'!#REF!,"AAAAACbys5A=")</f>
        <v>#REF!</v>
      </c>
      <c r="EP7" t="e">
        <f>AND('財法所101-英文法務組'!#REF!,"AAAAACbys5E=")</f>
        <v>#REF!</v>
      </c>
      <c r="EQ7" t="e">
        <f>AND('財法所101-英文法務組'!#REF!,"AAAAACbys5I=")</f>
        <v>#REF!</v>
      </c>
      <c r="ER7" t="e">
        <f>AND('財法所101-英文法務組'!#REF!,"AAAAACbys5M=")</f>
        <v>#REF!</v>
      </c>
      <c r="ES7" t="e">
        <f>AND('財法所101-英文法務組'!#REF!,"AAAAACbys5Q=")</f>
        <v>#REF!</v>
      </c>
      <c r="ET7" t="e">
        <f>AND('財法所101-英文法務組'!#REF!,"AAAAACbys5U=")</f>
        <v>#REF!</v>
      </c>
      <c r="EU7" t="e">
        <f>AND('財法所101-英文法務組'!#REF!,"AAAAACbys5Y=")</f>
        <v>#REF!</v>
      </c>
      <c r="EV7" t="e">
        <f>AND('財法所101-英文法務組'!#REF!,"AAAAACbys5c=")</f>
        <v>#REF!</v>
      </c>
      <c r="EW7" t="e">
        <f>AND('財法所101-英文法務組'!#REF!,"AAAAACbys5g=")</f>
        <v>#REF!</v>
      </c>
      <c r="EX7" t="e">
        <f>AND('財法所101-英文法務組'!#REF!,"AAAAACbys5k=")</f>
        <v>#REF!</v>
      </c>
      <c r="EY7" t="e">
        <f>AND('財法所101-英文法務組'!#REF!,"AAAAACbys5o=")</f>
        <v>#REF!</v>
      </c>
      <c r="EZ7" t="e">
        <f>AND('財法所101-英文法務組'!#REF!,"AAAAACbys5s=")</f>
        <v>#REF!</v>
      </c>
      <c r="FA7" t="e">
        <f>AND('財法所101-英文法務組'!#REF!,"AAAAACbys5w=")</f>
        <v>#REF!</v>
      </c>
      <c r="FB7" t="e">
        <f>AND('財法所101-英文法務組'!#REF!,"AAAAACbys50=")</f>
        <v>#REF!</v>
      </c>
      <c r="FC7" t="e">
        <f>AND('財法所101-英文法務組'!#REF!,"AAAAACbys54=")</f>
        <v>#REF!</v>
      </c>
      <c r="FD7" t="e">
        <f>AND('財法所101-英文法務組'!#REF!,"AAAAACbys58=")</f>
        <v>#REF!</v>
      </c>
      <c r="FE7" t="e">
        <f>AND('財法所101-英文法務組'!#REF!,"AAAAACbys6A=")</f>
        <v>#REF!</v>
      </c>
      <c r="FF7" t="e">
        <f>AND('財法所101-英文法務組'!#REF!,"AAAAACbys6E=")</f>
        <v>#REF!</v>
      </c>
      <c r="FG7" t="e">
        <f>AND('財法所101-英文法務組'!#REF!,"AAAAACbys6I=")</f>
        <v>#REF!</v>
      </c>
      <c r="FH7" t="e">
        <f>AND('財法所101-英文法務組'!#REF!,"AAAAACbys6M=")</f>
        <v>#REF!</v>
      </c>
      <c r="FI7" t="e">
        <f>AND('財法所101-英文法務組'!#REF!,"AAAAACbys6Q=")</f>
        <v>#REF!</v>
      </c>
      <c r="FJ7" t="e">
        <f>AND('財法所101-英文法務組'!#REF!,"AAAAACbys6U=")</f>
        <v>#REF!</v>
      </c>
      <c r="FK7" t="e">
        <f>AND('財法所101-英文法務組'!#REF!,"AAAAACbys6Y=")</f>
        <v>#REF!</v>
      </c>
      <c r="FL7" t="e">
        <f>AND('財法所101-英文法務組'!#REF!,"AAAAACbys6c=")</f>
        <v>#REF!</v>
      </c>
      <c r="FM7" t="e">
        <f>AND('財法所101-英文法務組'!#REF!,"AAAAACbys6g=")</f>
        <v>#REF!</v>
      </c>
      <c r="FN7" t="e">
        <f>AND('財法所101-英文法務組'!#REF!,"AAAAACbys6k=")</f>
        <v>#REF!</v>
      </c>
      <c r="FO7" t="e">
        <f>AND('財法所101-英文法務組'!#REF!,"AAAAACbys6o=")</f>
        <v>#REF!</v>
      </c>
      <c r="FP7" t="e">
        <f>AND('財法所101-英文法務組'!#REF!,"AAAAACbys6s=")</f>
        <v>#REF!</v>
      </c>
      <c r="FQ7" t="e">
        <f>AND('財法所101-英文法務組'!#REF!,"AAAAACbys6w=")</f>
        <v>#REF!</v>
      </c>
      <c r="FR7" t="e">
        <f>AND('財法所101-英文法務組'!#REF!,"AAAAACbys60=")</f>
        <v>#REF!</v>
      </c>
      <c r="FS7" t="e">
        <f>AND('財法所101-英文法務組'!#REF!,"AAAAACbys64=")</f>
        <v>#REF!</v>
      </c>
      <c r="FT7" t="e">
        <f>AND('財法所101-英文法務組'!#REF!,"AAAAACbys68=")</f>
        <v>#REF!</v>
      </c>
      <c r="FU7" t="e">
        <f>AND('財法所101-英文法務組'!#REF!,"AAAAACbys7A=")</f>
        <v>#REF!</v>
      </c>
      <c r="FV7" t="e">
        <f>AND('財法所101-英文法務組'!#REF!,"AAAAACbys7E=")</f>
        <v>#REF!</v>
      </c>
      <c r="FW7" t="e">
        <f>AND('財法所101-英文法務組'!#REF!,"AAAAACbys7I=")</f>
        <v>#REF!</v>
      </c>
      <c r="FX7" t="e">
        <f>AND('財法所101-英文法務組'!#REF!,"AAAAACbys7M=")</f>
        <v>#REF!</v>
      </c>
      <c r="FY7" t="e">
        <f>AND('財法所101-英文法務組'!#REF!,"AAAAACbys7Q=")</f>
        <v>#REF!</v>
      </c>
      <c r="FZ7" t="e">
        <f>AND('財法所101-英文法務組'!#REF!,"AAAAACbys7U=")</f>
        <v>#REF!</v>
      </c>
      <c r="GA7" t="e">
        <f>AND('財法所101-英文法務組'!#REF!,"AAAAACbys7Y=")</f>
        <v>#REF!</v>
      </c>
      <c r="GB7" t="e">
        <f>AND('財法所101-英文法務組'!#REF!,"AAAAACbys7c=")</f>
        <v>#REF!</v>
      </c>
      <c r="GC7" t="e">
        <f>AND('財法所101-英文法務組'!#REF!,"AAAAACbys7g=")</f>
        <v>#REF!</v>
      </c>
      <c r="GD7" t="e">
        <f>AND('財法所101-英文法務組'!#REF!,"AAAAACbys7k=")</f>
        <v>#REF!</v>
      </c>
      <c r="GE7" t="e">
        <f>AND('財法所101-英文法務組'!#REF!,"AAAAACbys7o=")</f>
        <v>#REF!</v>
      </c>
      <c r="GF7" t="e">
        <f>AND('財法所101-英文法務組'!#REF!,"AAAAACbys7s=")</f>
        <v>#REF!</v>
      </c>
      <c r="GG7" t="e">
        <f>AND('財法所101-英文法務組'!#REF!,"AAAAACbys7w=")</f>
        <v>#REF!</v>
      </c>
      <c r="GH7" t="e">
        <f>AND('財法所101-英文法務組'!#REF!,"AAAAACbys70=")</f>
        <v>#REF!</v>
      </c>
      <c r="GI7" t="e">
        <f>AND('財法所101-英文法務組'!#REF!,"AAAAACbys74=")</f>
        <v>#REF!</v>
      </c>
      <c r="GJ7" t="e">
        <f>AND('財法所101-英文法務組'!#REF!,"AAAAACbys78=")</f>
        <v>#REF!</v>
      </c>
      <c r="GK7" t="e">
        <f>AND('財法所101-英文法務組'!#REF!,"AAAAACbys8A=")</f>
        <v>#REF!</v>
      </c>
      <c r="GL7" t="e">
        <f>AND('財法所101-英文法務組'!#REF!,"AAAAACbys8E=")</f>
        <v>#REF!</v>
      </c>
      <c r="GM7" t="e">
        <f>AND('財法所101-英文法務組'!#REF!,"AAAAACbys8I=")</f>
        <v>#REF!</v>
      </c>
      <c r="GN7" t="e">
        <f>AND('財法所101-英文法務組'!#REF!,"AAAAACbys8M=")</f>
        <v>#REF!</v>
      </c>
      <c r="GO7" t="e">
        <f>AND('財法所101-英文法務組'!#REF!,"AAAAACbys8Q=")</f>
        <v>#REF!</v>
      </c>
      <c r="GP7" t="e">
        <f>AND('財法所101-英文法務組'!#REF!,"AAAAACbys8U=")</f>
        <v>#REF!</v>
      </c>
      <c r="GQ7" t="e">
        <f>AND('財法所101-英文法務組'!#REF!,"AAAAACbys8Y=")</f>
        <v>#REF!</v>
      </c>
      <c r="GR7" t="e">
        <f>AND('財法所101-英文法務組'!#REF!,"AAAAACbys8c=")</f>
        <v>#REF!</v>
      </c>
      <c r="GS7" t="e">
        <f>AND('財法所101-英文法務組'!#REF!,"AAAAACbys8g=")</f>
        <v>#REF!</v>
      </c>
      <c r="GT7" t="e">
        <f>AND('財法所101-英文法務組'!#REF!,"AAAAACbys8k=")</f>
        <v>#REF!</v>
      </c>
      <c r="GU7" t="e">
        <f>AND('財法所101-英文法務組'!#REF!,"AAAAACbys8o=")</f>
        <v>#REF!</v>
      </c>
      <c r="GV7" t="e">
        <f>AND('財法所101-英文法務組'!#REF!,"AAAAACbys8s=")</f>
        <v>#REF!</v>
      </c>
      <c r="GW7" t="e">
        <f>AND('財法所101-英文法務組'!#REF!,"AAAAACbys8w=")</f>
        <v>#REF!</v>
      </c>
      <c r="GX7" t="e">
        <f>AND('財法所101-英文法務組'!#REF!,"AAAAACbys80=")</f>
        <v>#REF!</v>
      </c>
      <c r="GY7" t="e">
        <f>AND('財法所101-英文法務組'!#REF!,"AAAAACbys84=")</f>
        <v>#REF!</v>
      </c>
      <c r="GZ7" t="e">
        <f>AND('財法所101-英文法務組'!#REF!,"AAAAACbys88=")</f>
        <v>#REF!</v>
      </c>
      <c r="HA7" t="e">
        <f>AND('財法所101-英文法務組'!#REF!,"AAAAACbys9A=")</f>
        <v>#REF!</v>
      </c>
      <c r="HB7" t="e">
        <f>AND('財法所101-英文法務組'!#REF!,"AAAAACbys9E=")</f>
        <v>#REF!</v>
      </c>
      <c r="HC7" t="e">
        <f>AND('財法所101-英文法務組'!#REF!,"AAAAACbys9I=")</f>
        <v>#REF!</v>
      </c>
      <c r="HD7" t="e">
        <f>AND('財法所101-英文法務組'!#REF!,"AAAAACbys9M=")</f>
        <v>#REF!</v>
      </c>
      <c r="HE7" t="e">
        <f>AND('財法所101-英文法務組'!#REF!,"AAAAACbys9Q=")</f>
        <v>#REF!</v>
      </c>
      <c r="HF7" t="e">
        <f>AND('財法所101-英文法務組'!#REF!,"AAAAACbys9U=")</f>
        <v>#REF!</v>
      </c>
      <c r="HG7" t="e">
        <f>AND('財法所101-英文法務組'!#REF!,"AAAAACbys9Y=")</f>
        <v>#REF!</v>
      </c>
      <c r="HH7" t="e">
        <f>AND('財法所101-英文法務組'!#REF!,"AAAAACbys9c=")</f>
        <v>#REF!</v>
      </c>
      <c r="HI7" t="e">
        <f>AND('財法所101-英文法務組'!#REF!,"AAAAACbys9g=")</f>
        <v>#REF!</v>
      </c>
      <c r="HJ7" t="e">
        <f>AND('財法所101-英文法務組'!#REF!,"AAAAACbys9k=")</f>
        <v>#REF!</v>
      </c>
      <c r="HK7" t="e">
        <f>AND('財法所101-英文法務組'!#REF!,"AAAAACbys9o=")</f>
        <v>#REF!</v>
      </c>
      <c r="HL7" t="e">
        <f>AND('財法所101-英文法務組'!#REF!,"AAAAACbys9s=")</f>
        <v>#REF!</v>
      </c>
      <c r="HM7" t="e">
        <f>AND('財法所101-英文法務組'!#REF!,"AAAAACbys9w=")</f>
        <v>#REF!</v>
      </c>
      <c r="HN7" t="e">
        <f>AND('財法所101-英文法務組'!#REF!,"AAAAACbys90=")</f>
        <v>#REF!</v>
      </c>
      <c r="HO7" t="e">
        <f>AND('財法所101-英文法務組'!#REF!,"AAAAACbys94=")</f>
        <v>#REF!</v>
      </c>
      <c r="HP7" t="e">
        <f>AND('財法所101-英文法務組'!#REF!,"AAAAACbys98=")</f>
        <v>#REF!</v>
      </c>
      <c r="HQ7" t="e">
        <f>AND('財法所101-英文法務組'!#REF!,"AAAAACbys+A=")</f>
        <v>#REF!</v>
      </c>
      <c r="HR7" t="e">
        <f>AND('財法所101-英文法務組'!#REF!,"AAAAACbys+E=")</f>
        <v>#REF!</v>
      </c>
      <c r="HS7" t="e">
        <f>AND('財法所101-英文法務組'!#REF!,"AAAAACbys+I=")</f>
        <v>#REF!</v>
      </c>
      <c r="HT7" t="e">
        <f>AND('財法所101-英文法務組'!#REF!,"AAAAACbys+M=")</f>
        <v>#REF!</v>
      </c>
      <c r="HU7" t="e">
        <f>AND('財法所101-英文法務組'!#REF!,"AAAAACbys+Q=")</f>
        <v>#REF!</v>
      </c>
      <c r="HV7" t="e">
        <f>AND('財法所101-英文法務組'!#REF!,"AAAAACbys+U=")</f>
        <v>#REF!</v>
      </c>
      <c r="HW7" t="e">
        <f>AND('財法所101-英文法務組'!#REF!,"AAAAACbys+Y=")</f>
        <v>#REF!</v>
      </c>
      <c r="HX7" t="e">
        <f>AND('財法所101-英文法務組'!#REF!,"AAAAACbys+c=")</f>
        <v>#REF!</v>
      </c>
      <c r="HY7" t="e">
        <f>AND('財法所101-英文法務組'!#REF!,"AAAAACbys+g=")</f>
        <v>#REF!</v>
      </c>
      <c r="HZ7" t="e">
        <f>AND('財法所101-英文法務組'!#REF!,"AAAAACbys+k=")</f>
        <v>#REF!</v>
      </c>
      <c r="IA7" t="e">
        <f>AND('財法所101-英文法務組'!#REF!,"AAAAACbys+o=")</f>
        <v>#REF!</v>
      </c>
      <c r="IB7" t="e">
        <f>AND('財法所101-英文法務組'!#REF!,"AAAAACbys+s=")</f>
        <v>#REF!</v>
      </c>
      <c r="IC7" t="e">
        <f>AND('財法所101-英文法務組'!#REF!,"AAAAACbys+w=")</f>
        <v>#REF!</v>
      </c>
      <c r="ID7" t="e">
        <f>AND('財法所101-英文法務組'!#REF!,"AAAAACbys+0=")</f>
        <v>#REF!</v>
      </c>
      <c r="IE7" t="e">
        <f>AND('財法所101-英文法務組'!#REF!,"AAAAACbys+4=")</f>
        <v>#REF!</v>
      </c>
      <c r="IF7" t="e">
        <f>AND('財法所101-英文法務組'!#REF!,"AAAAACbys+8=")</f>
        <v>#REF!</v>
      </c>
      <c r="IG7" t="e">
        <f>AND('財法所101-英文法務組'!#REF!,"AAAAACbys/A=")</f>
        <v>#REF!</v>
      </c>
      <c r="IH7" t="e">
        <f>AND('財法所101-英文法務組'!#REF!,"AAAAACbys/E=")</f>
        <v>#REF!</v>
      </c>
      <c r="II7" t="e">
        <f>AND('財法所101-英文法務組'!#REF!,"AAAAACbys/I=")</f>
        <v>#REF!</v>
      </c>
      <c r="IJ7" t="e">
        <f>AND('財法所101-英文法務組'!#REF!,"AAAAACbys/M=")</f>
        <v>#REF!</v>
      </c>
      <c r="IK7" t="e">
        <f>AND('財法所101-英文法務組'!#REF!,"AAAAACbys/Q=")</f>
        <v>#REF!</v>
      </c>
      <c r="IL7" t="e">
        <f>AND('財法所101-英文法務組'!#REF!,"AAAAACbys/U=")</f>
        <v>#REF!</v>
      </c>
      <c r="IM7" t="e">
        <f>AND('財法所101-英文法務組'!#REF!,"AAAAACbys/Y=")</f>
        <v>#REF!</v>
      </c>
      <c r="IN7" t="e">
        <f>AND('財法所101-英文法務組'!#REF!,"AAAAACbys/c=")</f>
        <v>#REF!</v>
      </c>
      <c r="IO7" t="e">
        <f>AND('財法所101-英文法務組'!#REF!,"AAAAACbys/g=")</f>
        <v>#REF!</v>
      </c>
      <c r="IP7" t="e">
        <f>AND('財法所101-英文法務組'!#REF!,"AAAAACbys/k=")</f>
        <v>#REF!</v>
      </c>
      <c r="IQ7" t="e">
        <f>AND('財法所101-英文法務組'!#REF!,"AAAAACbys/o=")</f>
        <v>#REF!</v>
      </c>
      <c r="IR7" t="e">
        <f>AND('財法所101-英文法務組'!#REF!,"AAAAACbys/s=")</f>
        <v>#REF!</v>
      </c>
      <c r="IS7" t="e">
        <f>AND('財法所101-英文法務組'!#REF!,"AAAAACbys/w=")</f>
        <v>#REF!</v>
      </c>
      <c r="IT7" t="e">
        <f>AND('財法所101-英文法務組'!#REF!,"AAAAACbys/0=")</f>
        <v>#REF!</v>
      </c>
      <c r="IU7" t="e">
        <f>AND('財法所101-英文法務組'!#REF!,"AAAAACbys/4=")</f>
        <v>#REF!</v>
      </c>
      <c r="IV7" t="e">
        <f>AND('財法所101-英文法務組'!#REF!,"AAAAACbys/8=")</f>
        <v>#REF!</v>
      </c>
    </row>
    <row r="8" spans="1:256">
      <c r="A8" t="e">
        <f>AND('財法所101-英文法務組'!#REF!,"AAAAAD9J6gA=")</f>
        <v>#REF!</v>
      </c>
      <c r="B8" t="e">
        <f>AND('財法所101-英文法務組'!#REF!,"AAAAAD9J6gE=")</f>
        <v>#REF!</v>
      </c>
      <c r="C8" t="e">
        <f>AND('財法所101-英文法務組'!#REF!,"AAAAAD9J6gI=")</f>
        <v>#REF!</v>
      </c>
      <c r="D8" t="e">
        <f>AND('財法所101-英文法務組'!#REF!,"AAAAAD9J6gM=")</f>
        <v>#REF!</v>
      </c>
      <c r="E8" t="e">
        <f>AND('財法所101-英文法務組'!#REF!,"AAAAAD9J6gQ=")</f>
        <v>#REF!</v>
      </c>
      <c r="F8" t="e">
        <f>AND('財法所101-英文法務組'!#REF!,"AAAAAD9J6gU=")</f>
        <v>#REF!</v>
      </c>
      <c r="G8" t="e">
        <f>AND('財法所101-英文法務組'!#REF!,"AAAAAD9J6gY=")</f>
        <v>#REF!</v>
      </c>
      <c r="H8" t="e">
        <f>AND('財法所101-英文法務組'!#REF!,"AAAAAD9J6gc=")</f>
        <v>#REF!</v>
      </c>
      <c r="I8" t="e">
        <f>AND('財法所101-英文法務組'!#REF!,"AAAAAD9J6gg=")</f>
        <v>#REF!</v>
      </c>
      <c r="J8" t="e">
        <f>AND('財法所101-英文法務組'!#REF!,"AAAAAD9J6gk=")</f>
        <v>#REF!</v>
      </c>
      <c r="K8" t="e">
        <f>AND('財法所101-英文法務組'!#REF!,"AAAAAD9J6go=")</f>
        <v>#REF!</v>
      </c>
      <c r="L8" t="e">
        <f>AND('財法所101-英文法務組'!#REF!,"AAAAAD9J6gs=")</f>
        <v>#REF!</v>
      </c>
      <c r="M8" t="e">
        <f>AND('財法所101-英文法務組'!#REF!,"AAAAAD9J6gw=")</f>
        <v>#REF!</v>
      </c>
      <c r="N8" t="e">
        <f>AND('財法所101-英文法務組'!#REF!,"AAAAAD9J6g0=")</f>
        <v>#REF!</v>
      </c>
      <c r="O8" t="e">
        <f>AND('財法所101-英文法務組'!#REF!,"AAAAAD9J6g4=")</f>
        <v>#REF!</v>
      </c>
      <c r="P8" t="e">
        <f>AND('財法所101-英文法務組'!#REF!,"AAAAAD9J6g8=")</f>
        <v>#REF!</v>
      </c>
      <c r="Q8" t="e">
        <f>AND('財法所101-英文法務組'!#REF!,"AAAAAD9J6hA=")</f>
        <v>#REF!</v>
      </c>
      <c r="R8" t="e">
        <f>AND('財法所101-英文法務組'!#REF!,"AAAAAD9J6hE=")</f>
        <v>#REF!</v>
      </c>
      <c r="S8" t="e">
        <f>AND('財法所101-英文法務組'!#REF!,"AAAAAD9J6hI=")</f>
        <v>#REF!</v>
      </c>
      <c r="T8" t="e">
        <f>AND('財法所101-英文法務組'!#REF!,"AAAAAD9J6hM=")</f>
        <v>#REF!</v>
      </c>
      <c r="U8" t="e">
        <f>AND('財法所101-英文法務組'!#REF!,"AAAAAD9J6hQ=")</f>
        <v>#REF!</v>
      </c>
      <c r="V8" t="e">
        <f>AND('財法所101-英文法務組'!#REF!,"AAAAAD9J6hU=")</f>
        <v>#REF!</v>
      </c>
      <c r="W8" t="e">
        <f>AND('財法所101-英文法務組'!#REF!,"AAAAAD9J6hY=")</f>
        <v>#REF!</v>
      </c>
      <c r="X8" t="e">
        <f>AND('財法所101-英文法務組'!#REF!,"AAAAAD9J6hc=")</f>
        <v>#REF!</v>
      </c>
      <c r="Y8" t="e">
        <f>AND('財法所101-英文法務組'!#REF!,"AAAAAD9J6hg=")</f>
        <v>#REF!</v>
      </c>
      <c r="Z8" t="e">
        <f>AND('財法所101-英文法務組'!#REF!,"AAAAAD9J6hk=")</f>
        <v>#REF!</v>
      </c>
      <c r="AA8" t="e">
        <f>AND('財法所101-英文法務組'!#REF!,"AAAAAD9J6ho=")</f>
        <v>#REF!</v>
      </c>
      <c r="AB8" t="e">
        <f>AND('財法所101-英文法務組'!#REF!,"AAAAAD9J6hs=")</f>
        <v>#REF!</v>
      </c>
      <c r="AC8" t="e">
        <f>AND('財法所101-英文法務組'!#REF!,"AAAAAD9J6hw=")</f>
        <v>#REF!</v>
      </c>
      <c r="AD8" t="e">
        <f>AND('財法所101-英文法務組'!#REF!,"AAAAAD9J6h0=")</f>
        <v>#REF!</v>
      </c>
      <c r="AE8" t="e">
        <f>AND('財法所101-英文法務組'!#REF!,"AAAAAD9J6h4=")</f>
        <v>#REF!</v>
      </c>
      <c r="AF8" t="e">
        <f>AND('財法所101-英文法務組'!#REF!,"AAAAAD9J6h8=")</f>
        <v>#REF!</v>
      </c>
      <c r="AG8" t="e">
        <f>AND('財法所101-英文法務組'!#REF!,"AAAAAD9J6iA=")</f>
        <v>#REF!</v>
      </c>
      <c r="AH8" t="e">
        <f>AND('財法所101-英文法務組'!#REF!,"AAAAAD9J6iE=")</f>
        <v>#REF!</v>
      </c>
      <c r="AI8" t="e">
        <f>AND('財法所101-英文法務組'!#REF!,"AAAAAD9J6iI=")</f>
        <v>#REF!</v>
      </c>
      <c r="AJ8" t="e">
        <f>AND('財法所101-英文法務組'!#REF!,"AAAAAD9J6iM=")</f>
        <v>#REF!</v>
      </c>
      <c r="AK8" t="e">
        <f>AND('財法所101-英文法務組'!#REF!,"AAAAAD9J6iQ=")</f>
        <v>#REF!</v>
      </c>
      <c r="AL8" t="e">
        <f>AND('財法所101-英文法務組'!#REF!,"AAAAAD9J6iU=")</f>
        <v>#REF!</v>
      </c>
      <c r="AM8" t="e">
        <f>AND('財法所101-英文法務組'!#REF!,"AAAAAD9J6iY=")</f>
        <v>#REF!</v>
      </c>
      <c r="AN8" t="e">
        <f>AND('財法所101-英文法務組'!#REF!,"AAAAAD9J6ic=")</f>
        <v>#REF!</v>
      </c>
      <c r="AO8" t="e">
        <f>AND('財法所101-英文法務組'!#REF!,"AAAAAD9J6ig=")</f>
        <v>#REF!</v>
      </c>
      <c r="AP8" t="e">
        <f>AND('財法所101-英文法務組'!#REF!,"AAAAAD9J6ik=")</f>
        <v>#REF!</v>
      </c>
      <c r="AQ8" t="e">
        <f>AND('財法所101-英文法務組'!#REF!,"AAAAAD9J6io=")</f>
        <v>#REF!</v>
      </c>
      <c r="AR8" t="e">
        <f>AND('財法所101-英文法務組'!#REF!,"AAAAAD9J6is=")</f>
        <v>#REF!</v>
      </c>
      <c r="AS8" t="e">
        <f>AND('財法所101-英文法務組'!#REF!,"AAAAAD9J6iw=")</f>
        <v>#REF!</v>
      </c>
      <c r="AT8" t="e">
        <f>AND('財法所101-英文法務組'!#REF!,"AAAAAD9J6i0=")</f>
        <v>#REF!</v>
      </c>
      <c r="AU8" t="e">
        <f>AND('財法所101-英文法務組'!#REF!,"AAAAAD9J6i4=")</f>
        <v>#REF!</v>
      </c>
      <c r="AV8" t="e">
        <f>AND('財法所101-英文法務組'!#REF!,"AAAAAD9J6i8=")</f>
        <v>#REF!</v>
      </c>
      <c r="AW8" t="e">
        <f>AND('財法所101-英文法務組'!#REF!,"AAAAAD9J6jA=")</f>
        <v>#REF!</v>
      </c>
      <c r="AX8" t="e">
        <f>AND('財法所101-英文法務組'!#REF!,"AAAAAD9J6jE=")</f>
        <v>#REF!</v>
      </c>
      <c r="AY8" t="e">
        <f>AND('財法所101-英文法務組'!#REF!,"AAAAAD9J6jI=")</f>
        <v>#REF!</v>
      </c>
      <c r="AZ8" t="e">
        <f>AND('財法所101-英文法務組'!#REF!,"AAAAAD9J6jM=")</f>
        <v>#REF!</v>
      </c>
      <c r="BA8" t="e">
        <f>AND('財法所101-英文法務組'!#REF!,"AAAAAD9J6jQ=")</f>
        <v>#REF!</v>
      </c>
      <c r="BB8" t="e">
        <f>AND('財法所101-英文法務組'!#REF!,"AAAAAD9J6jU=")</f>
        <v>#REF!</v>
      </c>
      <c r="BC8" t="e">
        <f>AND('財法所101-英文法務組'!#REF!,"AAAAAD9J6jY=")</f>
        <v>#REF!</v>
      </c>
      <c r="BD8" t="e">
        <f>AND('財法所101-英文法務組'!#REF!,"AAAAAD9J6jc=")</f>
        <v>#REF!</v>
      </c>
      <c r="BE8" t="e">
        <f>AND('財法所101-英文法務組'!#REF!,"AAAAAD9J6jg=")</f>
        <v>#REF!</v>
      </c>
      <c r="BF8" t="e">
        <f>AND('財法所101-英文法務組'!#REF!,"AAAAAD9J6jk=")</f>
        <v>#REF!</v>
      </c>
      <c r="BG8" t="e">
        <f>AND('財法所101-英文法務組'!#REF!,"AAAAAD9J6jo=")</f>
        <v>#REF!</v>
      </c>
      <c r="BH8" t="e">
        <f>AND('財法所101-英文法務組'!#REF!,"AAAAAD9J6js=")</f>
        <v>#REF!</v>
      </c>
      <c r="BI8" t="e">
        <f>AND('財法所101-英文法務組'!#REF!,"AAAAAD9J6jw=")</f>
        <v>#REF!</v>
      </c>
      <c r="BJ8" t="e">
        <f>AND('財法所101-英文法務組'!#REF!,"AAAAAD9J6j0=")</f>
        <v>#REF!</v>
      </c>
      <c r="BK8" t="e">
        <f>AND('財法所101-英文法務組'!#REF!,"AAAAAD9J6j4=")</f>
        <v>#REF!</v>
      </c>
      <c r="BL8" t="e">
        <f>AND('財法所101-英文法務組'!#REF!,"AAAAAD9J6j8=")</f>
        <v>#REF!</v>
      </c>
      <c r="BM8" t="e">
        <f>AND('財法所101-英文法務組'!#REF!,"AAAAAD9J6kA=")</f>
        <v>#REF!</v>
      </c>
      <c r="BN8" t="e">
        <f>AND('財法所101-英文法務組'!#REF!,"AAAAAD9J6kE=")</f>
        <v>#REF!</v>
      </c>
      <c r="BO8" t="e">
        <f>AND('財法所101-英文法務組'!#REF!,"AAAAAD9J6kI=")</f>
        <v>#REF!</v>
      </c>
      <c r="BP8" t="e">
        <f>AND('財法所101-英文法務組'!#REF!,"AAAAAD9J6kM=")</f>
        <v>#REF!</v>
      </c>
      <c r="BQ8" t="e">
        <f>AND('財法所101-英文法務組'!#REF!,"AAAAAD9J6kQ=")</f>
        <v>#REF!</v>
      </c>
      <c r="BR8" t="e">
        <f>AND('財法所101-英文法務組'!#REF!,"AAAAAD9J6kU=")</f>
        <v>#REF!</v>
      </c>
      <c r="BS8" t="e">
        <f>AND('財法所101-英文法務組'!#REF!,"AAAAAD9J6kY=")</f>
        <v>#REF!</v>
      </c>
      <c r="BT8" t="e">
        <f>AND('財法所101-英文法務組'!#REF!,"AAAAAD9J6kc=")</f>
        <v>#REF!</v>
      </c>
      <c r="BU8" t="e">
        <f>AND('財法所101-英文法務組'!#REF!,"AAAAAD9J6kg=")</f>
        <v>#REF!</v>
      </c>
      <c r="BV8" t="e">
        <f>AND('財法所101-英文法務組'!#REF!,"AAAAAD9J6kk=")</f>
        <v>#REF!</v>
      </c>
      <c r="BW8" t="e">
        <f>AND('財法所101-英文法務組'!#REF!,"AAAAAD9J6ko=")</f>
        <v>#REF!</v>
      </c>
      <c r="BX8" t="e">
        <f>AND('財法所101-英文法務組'!#REF!,"AAAAAD9J6ks=")</f>
        <v>#REF!</v>
      </c>
      <c r="BY8" t="e">
        <f>AND('財法所101-英文法務組'!#REF!,"AAAAAD9J6kw=")</f>
        <v>#REF!</v>
      </c>
      <c r="BZ8" t="e">
        <f>AND('財法所101-英文法務組'!#REF!,"AAAAAD9J6k0=")</f>
        <v>#REF!</v>
      </c>
      <c r="CA8" t="e">
        <f>AND('財法所101-英文法務組'!#REF!,"AAAAAD9J6k4=")</f>
        <v>#REF!</v>
      </c>
      <c r="CB8" t="e">
        <f>AND('財法所101-英文法務組'!#REF!,"AAAAAD9J6k8=")</f>
        <v>#REF!</v>
      </c>
      <c r="CC8" t="e">
        <f>AND('財法所101-英文法務組'!#REF!,"AAAAAD9J6lA=")</f>
        <v>#REF!</v>
      </c>
      <c r="CD8" t="e">
        <f>AND('財法所101-英文法務組'!#REF!,"AAAAAD9J6lE=")</f>
        <v>#REF!</v>
      </c>
      <c r="CE8" t="e">
        <f>AND('財法所101-英文法務組'!#REF!,"AAAAAD9J6lI=")</f>
        <v>#REF!</v>
      </c>
      <c r="CF8" t="e">
        <f>AND('財法所101-英文法務組'!#REF!,"AAAAAD9J6lM=")</f>
        <v>#REF!</v>
      </c>
      <c r="CG8" t="e">
        <f>AND('財法所101-英文法務組'!#REF!,"AAAAAD9J6lQ=")</f>
        <v>#REF!</v>
      </c>
      <c r="CH8" t="e">
        <f>AND('財法所101-英文法務組'!#REF!,"AAAAAD9J6lU=")</f>
        <v>#REF!</v>
      </c>
      <c r="CI8" t="e">
        <f>AND('財法所101-英文法務組'!#REF!,"AAAAAD9J6lY=")</f>
        <v>#REF!</v>
      </c>
      <c r="CJ8" t="e">
        <f>AND('財法所101-英文法務組'!#REF!,"AAAAAD9J6lc=")</f>
        <v>#REF!</v>
      </c>
      <c r="CK8" t="e">
        <f>AND('財法所101-英文法務組'!#REF!,"AAAAAD9J6lg=")</f>
        <v>#REF!</v>
      </c>
      <c r="CL8" t="e">
        <f>AND('財法所101-英文法務組'!#REF!,"AAAAAD9J6lk=")</f>
        <v>#REF!</v>
      </c>
      <c r="CM8" t="e">
        <f>AND('財法所101-英文法務組'!#REF!,"AAAAAD9J6lo=")</f>
        <v>#REF!</v>
      </c>
      <c r="CN8" t="e">
        <f>AND('財法所101-英文法務組'!#REF!,"AAAAAD9J6ls=")</f>
        <v>#REF!</v>
      </c>
      <c r="CO8" t="e">
        <f>AND('財法所101-英文法務組'!#REF!,"AAAAAD9J6lw=")</f>
        <v>#REF!</v>
      </c>
      <c r="CP8" t="e">
        <f>AND('財法所101-英文法務組'!#REF!,"AAAAAD9J6l0=")</f>
        <v>#REF!</v>
      </c>
      <c r="CQ8" t="e">
        <f>AND('財法所101-英文法務組'!#REF!,"AAAAAD9J6l4=")</f>
        <v>#REF!</v>
      </c>
      <c r="CR8" t="e">
        <f>AND('財法所101-英文法務組'!#REF!,"AAAAAD9J6l8=")</f>
        <v>#REF!</v>
      </c>
      <c r="CS8" t="e">
        <f>AND('財法所101-英文法務組'!#REF!,"AAAAAD9J6mA=")</f>
        <v>#REF!</v>
      </c>
      <c r="CT8" t="e">
        <f>AND('財法所101-英文法務組'!#REF!,"AAAAAD9J6mE=")</f>
        <v>#REF!</v>
      </c>
      <c r="CU8" t="e">
        <f>AND('財法所101-英文法務組'!#REF!,"AAAAAD9J6mI=")</f>
        <v>#REF!</v>
      </c>
      <c r="CV8" t="e">
        <f>AND('財法所101-英文法務組'!#REF!,"AAAAAD9J6mM=")</f>
        <v>#REF!</v>
      </c>
      <c r="CW8" t="e">
        <f>AND('財法所101-英文法務組'!#REF!,"AAAAAD9J6mQ=")</f>
        <v>#REF!</v>
      </c>
      <c r="CX8" t="e">
        <f>AND('財法所101-英文法務組'!#REF!,"AAAAAD9J6mU=")</f>
        <v>#REF!</v>
      </c>
      <c r="CY8" t="e">
        <f>AND('財法所101-英文法務組'!#REF!,"AAAAAD9J6mY=")</f>
        <v>#REF!</v>
      </c>
      <c r="CZ8" t="e">
        <f>AND('財法所101-英文法務組'!#REF!,"AAAAAD9J6mc=")</f>
        <v>#REF!</v>
      </c>
      <c r="DA8" t="e">
        <f>AND('財法所101-英文法務組'!#REF!,"AAAAAD9J6mg=")</f>
        <v>#REF!</v>
      </c>
      <c r="DB8" t="e">
        <f>AND('財法所101-英文法務組'!#REF!,"AAAAAD9J6mk=")</f>
        <v>#REF!</v>
      </c>
      <c r="DC8" t="e">
        <f>AND('財法所101-英文法務組'!#REF!,"AAAAAD9J6mo=")</f>
        <v>#REF!</v>
      </c>
      <c r="DD8" t="e">
        <f>AND('財法所101-英文法務組'!#REF!,"AAAAAD9J6ms=")</f>
        <v>#REF!</v>
      </c>
      <c r="DE8" t="e">
        <f>AND('財法所101-英文法務組'!#REF!,"AAAAAD9J6mw=")</f>
        <v>#REF!</v>
      </c>
      <c r="DF8" t="e">
        <f>AND('財法所101-英文法務組'!#REF!,"AAAAAD9J6m0=")</f>
        <v>#REF!</v>
      </c>
      <c r="DG8" t="e">
        <f>AND('財法所101-英文法務組'!#REF!,"AAAAAD9J6m4=")</f>
        <v>#REF!</v>
      </c>
      <c r="DH8" t="e">
        <f>AND('財法所101-英文法務組'!#REF!,"AAAAAD9J6m8=")</f>
        <v>#REF!</v>
      </c>
      <c r="DI8" t="e">
        <f>AND('財法所101-英文法務組'!#REF!,"AAAAAD9J6nA=")</f>
        <v>#REF!</v>
      </c>
      <c r="DJ8" t="e">
        <f>AND('財法所101-英文法務組'!#REF!,"AAAAAD9J6nE=")</f>
        <v>#REF!</v>
      </c>
      <c r="DK8" t="e">
        <f>AND('財法所101-英文法務組'!#REF!,"AAAAAD9J6nI=")</f>
        <v>#REF!</v>
      </c>
      <c r="DL8" t="e">
        <f>AND('財法所101-英文法務組'!#REF!,"AAAAAD9J6nM=")</f>
        <v>#REF!</v>
      </c>
      <c r="DM8" t="e">
        <f>AND('財法所101-英文法務組'!#REF!,"AAAAAD9J6nQ=")</f>
        <v>#REF!</v>
      </c>
      <c r="DN8" t="e">
        <f>AND('財法所101-英文法務組'!#REF!,"AAAAAD9J6nU=")</f>
        <v>#REF!</v>
      </c>
      <c r="DO8" t="e">
        <f>AND('財法所101-英文法務組'!#REF!,"AAAAAD9J6nY=")</f>
        <v>#REF!</v>
      </c>
      <c r="DP8" t="e">
        <f>AND('財法所101-英文法務組'!#REF!,"AAAAAD9J6nc=")</f>
        <v>#REF!</v>
      </c>
      <c r="DQ8" t="e">
        <f>AND('財法所101-英文法務組'!#REF!,"AAAAAD9J6ng=")</f>
        <v>#REF!</v>
      </c>
      <c r="DR8" t="e">
        <f>AND('財法所101-英文法務組'!#REF!,"AAAAAD9J6nk=")</f>
        <v>#REF!</v>
      </c>
      <c r="DS8" t="e">
        <f>AND('財法所101-英文法務組'!#REF!,"AAAAAD9J6no=")</f>
        <v>#REF!</v>
      </c>
      <c r="DT8" t="e">
        <f>AND('財法所101-英文法務組'!#REF!,"AAAAAD9J6ns=")</f>
        <v>#REF!</v>
      </c>
      <c r="DU8" t="e">
        <f>AND('財法所101-英文法務組'!#REF!,"AAAAAD9J6nw=")</f>
        <v>#REF!</v>
      </c>
      <c r="DV8" t="e">
        <f>AND('財法所101-英文法務組'!#REF!,"AAAAAD9J6n0=")</f>
        <v>#REF!</v>
      </c>
      <c r="DW8" t="e">
        <f>AND('財法所101-英文法務組'!#REF!,"AAAAAD9J6n4=")</f>
        <v>#REF!</v>
      </c>
      <c r="DX8" t="e">
        <f>AND('財法所101-英文法務組'!#REF!,"AAAAAD9J6n8=")</f>
        <v>#REF!</v>
      </c>
      <c r="DY8" t="e">
        <f>AND('財法所101-英文法務組'!#REF!,"AAAAAD9J6oA=")</f>
        <v>#REF!</v>
      </c>
      <c r="DZ8" t="e">
        <f>AND('財法所101-英文法務組'!#REF!,"AAAAAD9J6oE=")</f>
        <v>#REF!</v>
      </c>
      <c r="EA8" t="e">
        <f>AND('財法所101-英文法務組'!#REF!,"AAAAAD9J6oI=")</f>
        <v>#REF!</v>
      </c>
      <c r="EB8" t="e">
        <f>AND('財法所101-英文法務組'!#REF!,"AAAAAD9J6oM=")</f>
        <v>#REF!</v>
      </c>
      <c r="EC8" t="e">
        <f>AND('財法所101-英文法務組'!#REF!,"AAAAAD9J6oQ=")</f>
        <v>#REF!</v>
      </c>
      <c r="ED8" t="e">
        <f>AND('財法所101-英文法務組'!#REF!,"AAAAAD9J6oU=")</f>
        <v>#REF!</v>
      </c>
      <c r="EE8" t="e">
        <f>AND('財法所101-英文法務組'!#REF!,"AAAAAD9J6oY=")</f>
        <v>#REF!</v>
      </c>
      <c r="EF8" t="e">
        <f>AND('財法所101-英文法務組'!#REF!,"AAAAAD9J6oc=")</f>
        <v>#REF!</v>
      </c>
      <c r="EG8" t="e">
        <f>AND('財法所101-英文法務組'!#REF!,"AAAAAD9J6og=")</f>
        <v>#REF!</v>
      </c>
      <c r="EH8" t="e">
        <f>AND('財法所101-英文法務組'!#REF!,"AAAAAD9J6ok=")</f>
        <v>#REF!</v>
      </c>
      <c r="EI8" t="e">
        <f>AND('財法所101-英文法務組'!#REF!,"AAAAAD9J6oo=")</f>
        <v>#REF!</v>
      </c>
      <c r="EJ8" t="e">
        <f>AND('財法所101-英文法務組'!#REF!,"AAAAAD9J6os=")</f>
        <v>#REF!</v>
      </c>
      <c r="EK8" t="e">
        <f>AND('財法所101-英文法務組'!#REF!,"AAAAAD9J6ow=")</f>
        <v>#REF!</v>
      </c>
      <c r="EL8" t="e">
        <f>AND('財法所101-英文法務組'!#REF!,"AAAAAD9J6o0=")</f>
        <v>#REF!</v>
      </c>
      <c r="EM8" t="e">
        <f>AND('財法所101-英文法務組'!#REF!,"AAAAAD9J6o4=")</f>
        <v>#REF!</v>
      </c>
      <c r="EN8" t="e">
        <f>AND('財法所101-英文法務組'!#REF!,"AAAAAD9J6o8=")</f>
        <v>#REF!</v>
      </c>
      <c r="EO8" t="e">
        <f>AND('財法所101-英文法務組'!#REF!,"AAAAAD9J6pA=")</f>
        <v>#REF!</v>
      </c>
      <c r="EP8" t="e">
        <f>AND('財法所101-英文法務組'!#REF!,"AAAAAD9J6pE=")</f>
        <v>#REF!</v>
      </c>
      <c r="EQ8" t="e">
        <f>AND('財法所101-英文法務組'!#REF!,"AAAAAD9J6pI=")</f>
        <v>#REF!</v>
      </c>
      <c r="ER8" t="e">
        <f>AND('財法所101-英文法務組'!#REF!,"AAAAAD9J6pM=")</f>
        <v>#REF!</v>
      </c>
      <c r="ES8" t="e">
        <f>AND('財法所101-英文法務組'!#REF!,"AAAAAD9J6pQ=")</f>
        <v>#REF!</v>
      </c>
      <c r="ET8" t="e">
        <f>AND('財法所101-英文法務組'!#REF!,"AAAAAD9J6pU=")</f>
        <v>#REF!</v>
      </c>
      <c r="EU8" t="e">
        <f>AND('財法所101-英文法務組'!#REF!,"AAAAAD9J6pY=")</f>
        <v>#REF!</v>
      </c>
      <c r="EV8" t="e">
        <f>AND('財法所101-英文法務組'!#REF!,"AAAAAD9J6pc=")</f>
        <v>#REF!</v>
      </c>
      <c r="EW8" t="e">
        <f>AND('財法所101-英文法務組'!#REF!,"AAAAAD9J6pg=")</f>
        <v>#REF!</v>
      </c>
      <c r="EX8" t="e">
        <f>AND('財法所101-英文法務組'!#REF!,"AAAAAD9J6pk=")</f>
        <v>#REF!</v>
      </c>
      <c r="EY8" t="e">
        <f>AND('財法所101-英文法務組'!#REF!,"AAAAAD9J6po=")</f>
        <v>#REF!</v>
      </c>
      <c r="EZ8" t="e">
        <f>AND('財法所101-英文法務組'!#REF!,"AAAAAD9J6ps=")</f>
        <v>#REF!</v>
      </c>
      <c r="FA8" t="e">
        <f>AND('財法所101-英文法務組'!#REF!,"AAAAAD9J6pw=")</f>
        <v>#REF!</v>
      </c>
      <c r="FB8" t="e">
        <f>AND('財法所101-英文法務組'!#REF!,"AAAAAD9J6p0=")</f>
        <v>#REF!</v>
      </c>
      <c r="FC8" t="e">
        <f>AND('財法所101-英文法務組'!#REF!,"AAAAAD9J6p4=")</f>
        <v>#REF!</v>
      </c>
      <c r="FD8" t="e">
        <f>AND('財法所101-英文法務組'!#REF!,"AAAAAD9J6p8=")</f>
        <v>#REF!</v>
      </c>
      <c r="FE8" t="e">
        <f>AND('財法所101-英文法務組'!#REF!,"AAAAAD9J6qA=")</f>
        <v>#REF!</v>
      </c>
      <c r="FF8" t="e">
        <f>AND('財法所101-英文法務組'!#REF!,"AAAAAD9J6qE=")</f>
        <v>#REF!</v>
      </c>
      <c r="FG8" t="e">
        <f>AND('財法所101-英文法務組'!#REF!,"AAAAAD9J6qI=")</f>
        <v>#REF!</v>
      </c>
      <c r="FH8" t="e">
        <f>AND('財法所101-英文法務組'!#REF!,"AAAAAD9J6qM=")</f>
        <v>#REF!</v>
      </c>
      <c r="FI8" t="e">
        <f>AND('財法所101-英文法務組'!#REF!,"AAAAAD9J6qQ=")</f>
        <v>#REF!</v>
      </c>
      <c r="FJ8" t="e">
        <f>AND('財法所101-英文法務組'!#REF!,"AAAAAD9J6qU=")</f>
        <v>#REF!</v>
      </c>
      <c r="FK8" t="e">
        <f>AND('財法所101-英文法務組'!#REF!,"AAAAAD9J6qY=")</f>
        <v>#REF!</v>
      </c>
      <c r="FL8" t="e">
        <f>AND('財法所101-英文法務組'!#REF!,"AAAAAD9J6qc=")</f>
        <v>#REF!</v>
      </c>
      <c r="FM8" t="e">
        <f>AND('財法所101-英文法務組'!#REF!,"AAAAAD9J6qg=")</f>
        <v>#REF!</v>
      </c>
      <c r="FN8" t="e">
        <f>AND('財法所101-英文法務組'!#REF!,"AAAAAD9J6qk=")</f>
        <v>#REF!</v>
      </c>
      <c r="FO8" t="e">
        <f>AND('財法所101-英文法務組'!#REF!,"AAAAAD9J6qo=")</f>
        <v>#REF!</v>
      </c>
      <c r="FP8" t="e">
        <f>AND('財法所101-英文法務組'!#REF!,"AAAAAD9J6qs=")</f>
        <v>#REF!</v>
      </c>
      <c r="FQ8" t="e">
        <f>AND('財法所101-英文法務組'!#REF!,"AAAAAD9J6qw=")</f>
        <v>#REF!</v>
      </c>
      <c r="FR8" t="e">
        <f>AND('財法所101-英文法務組'!#REF!,"AAAAAD9J6q0=")</f>
        <v>#REF!</v>
      </c>
      <c r="FS8" t="e">
        <f>AND('財法所101-英文法務組'!#REF!,"AAAAAD9J6q4=")</f>
        <v>#REF!</v>
      </c>
      <c r="FT8" t="e">
        <f>AND('財法所101-英文法務組'!#REF!,"AAAAAD9J6q8=")</f>
        <v>#REF!</v>
      </c>
      <c r="FU8" t="e">
        <f>AND('財法所101-英文法務組'!#REF!,"AAAAAD9J6rA=")</f>
        <v>#REF!</v>
      </c>
      <c r="FV8" t="e">
        <f>AND('財法所101-英文法務組'!#REF!,"AAAAAD9J6rE=")</f>
        <v>#REF!</v>
      </c>
      <c r="FW8" t="e">
        <f>AND('財法所101-英文法務組'!#REF!,"AAAAAD9J6rI=")</f>
        <v>#REF!</v>
      </c>
      <c r="FX8" t="e">
        <f>AND('財法所101-英文法務組'!#REF!,"AAAAAD9J6rM=")</f>
        <v>#REF!</v>
      </c>
      <c r="FY8" t="e">
        <f>AND('財法所101-英文法務組'!#REF!,"AAAAAD9J6rQ=")</f>
        <v>#REF!</v>
      </c>
      <c r="FZ8" t="e">
        <f>AND('財法所101-英文法務組'!#REF!,"AAAAAD9J6rU=")</f>
        <v>#REF!</v>
      </c>
      <c r="GA8" t="e">
        <f>AND('財法所101-英文法務組'!#REF!,"AAAAAD9J6rY=")</f>
        <v>#REF!</v>
      </c>
      <c r="GB8" t="e">
        <f>AND('財法所101-英文法務組'!#REF!,"AAAAAD9J6rc=")</f>
        <v>#REF!</v>
      </c>
      <c r="GC8" t="e">
        <f>AND('財法所101-英文法務組'!#REF!,"AAAAAD9J6rg=")</f>
        <v>#REF!</v>
      </c>
      <c r="GD8" t="e">
        <f>AND('財法所101-英文法務組'!#REF!,"AAAAAD9J6rk=")</f>
        <v>#REF!</v>
      </c>
      <c r="GE8" t="e">
        <f>AND('財法所101-英文法務組'!#REF!,"AAAAAD9J6ro=")</f>
        <v>#REF!</v>
      </c>
      <c r="GF8" t="e">
        <f>AND('財法所101-英文法務組'!#REF!,"AAAAAD9J6rs=")</f>
        <v>#REF!</v>
      </c>
      <c r="GG8" t="e">
        <f>AND('財法所101-英文法務組'!#REF!,"AAAAAD9J6rw=")</f>
        <v>#REF!</v>
      </c>
      <c r="GH8" t="e">
        <f>AND('財法所101-英文法務組'!#REF!,"AAAAAD9J6r0=")</f>
        <v>#REF!</v>
      </c>
      <c r="GI8" t="e">
        <f>AND('財法所101-英文法務組'!#REF!,"AAAAAD9J6r4=")</f>
        <v>#REF!</v>
      </c>
      <c r="GJ8" t="e">
        <f>AND('財法所101-英文法務組'!#REF!,"AAAAAD9J6r8=")</f>
        <v>#REF!</v>
      </c>
      <c r="GK8" t="e">
        <f>AND('財法所101-英文法務組'!#REF!,"AAAAAD9J6sA=")</f>
        <v>#REF!</v>
      </c>
      <c r="GL8" t="e">
        <f>AND('財法所101-英文法務組'!#REF!,"AAAAAD9J6sE=")</f>
        <v>#REF!</v>
      </c>
      <c r="GM8" t="e">
        <f>AND('財法所101-英文法務組'!#REF!,"AAAAAD9J6sI=")</f>
        <v>#REF!</v>
      </c>
      <c r="GN8" t="e">
        <f>AND('財法所101-英文法務組'!#REF!,"AAAAAD9J6sM=")</f>
        <v>#REF!</v>
      </c>
      <c r="GO8" t="e">
        <f>AND('財法所101-英文法務組'!#REF!,"AAAAAD9J6sQ=")</f>
        <v>#REF!</v>
      </c>
      <c r="GP8" t="e">
        <f>AND('財法所101-英文法務組'!#REF!,"AAAAAD9J6sU=")</f>
        <v>#REF!</v>
      </c>
      <c r="GQ8" t="e">
        <f>AND('財法所101-英文法務組'!#REF!,"AAAAAD9J6sY=")</f>
        <v>#REF!</v>
      </c>
      <c r="GR8" t="e">
        <f>AND('財法所101-英文法務組'!#REF!,"AAAAAD9J6sc=")</f>
        <v>#REF!</v>
      </c>
      <c r="GS8" t="e">
        <f>AND('財法所101-英文法務組'!#REF!,"AAAAAD9J6sg=")</f>
        <v>#REF!</v>
      </c>
      <c r="GT8" t="e">
        <f>AND('財法所101-英文法務組'!#REF!,"AAAAAD9J6sk=")</f>
        <v>#REF!</v>
      </c>
      <c r="GU8" t="e">
        <f>AND('財法所101-英文法務組'!#REF!,"AAAAAD9J6so=")</f>
        <v>#REF!</v>
      </c>
      <c r="GV8" t="e">
        <f>AND('財法所101-英文法務組'!#REF!,"AAAAAD9J6ss=")</f>
        <v>#REF!</v>
      </c>
      <c r="GW8" t="e">
        <f>AND('財法所101-英文法務組'!#REF!,"AAAAAD9J6sw=")</f>
        <v>#REF!</v>
      </c>
      <c r="GX8" t="e">
        <f>AND('財法所101-英文法務組'!#REF!,"AAAAAD9J6s0=")</f>
        <v>#REF!</v>
      </c>
      <c r="GY8" t="e">
        <f>AND('財法所101-英文法務組'!#REF!,"AAAAAD9J6s4=")</f>
        <v>#REF!</v>
      </c>
      <c r="GZ8" t="e">
        <f>AND('財法所101-英文法務組'!#REF!,"AAAAAD9J6s8=")</f>
        <v>#REF!</v>
      </c>
      <c r="HA8" t="e">
        <f>AND('財法所101-英文法務組'!#REF!,"AAAAAD9J6tA=")</f>
        <v>#REF!</v>
      </c>
      <c r="HB8" t="e">
        <f>AND('財法所101-英文法務組'!#REF!,"AAAAAD9J6tE=")</f>
        <v>#REF!</v>
      </c>
      <c r="HC8" t="e">
        <f>AND('財法所101-英文法務組'!#REF!,"AAAAAD9J6tI=")</f>
        <v>#REF!</v>
      </c>
      <c r="HD8" t="e">
        <f>AND('財法所101-英文法務組'!#REF!,"AAAAAD9J6tM=")</f>
        <v>#REF!</v>
      </c>
      <c r="HE8" t="e">
        <f>AND('財法所101-英文法務組'!#REF!,"AAAAAD9J6tQ=")</f>
        <v>#REF!</v>
      </c>
      <c r="HF8" t="e">
        <f>AND('財法所101-英文法務組'!#REF!,"AAAAAD9J6tU=")</f>
        <v>#REF!</v>
      </c>
      <c r="HG8" t="e">
        <f>AND('財法所101-英文法務組'!#REF!,"AAAAAD9J6tY=")</f>
        <v>#REF!</v>
      </c>
      <c r="HH8" t="e">
        <f>AND('財法所101-英文法務組'!#REF!,"AAAAAD9J6tc=")</f>
        <v>#REF!</v>
      </c>
      <c r="HI8" t="e">
        <f>AND('財法所101-英文法務組'!#REF!,"AAAAAD9J6tg=")</f>
        <v>#REF!</v>
      </c>
      <c r="HJ8" t="e">
        <f>AND('財法所101-英文法務組'!#REF!,"AAAAAD9J6tk=")</f>
        <v>#REF!</v>
      </c>
      <c r="HK8" t="e">
        <f>AND('財法所101-英文法務組'!#REF!,"AAAAAD9J6to=")</f>
        <v>#REF!</v>
      </c>
      <c r="HL8" t="e">
        <f>AND('財法所101-英文法務組'!#REF!,"AAAAAD9J6ts=")</f>
        <v>#REF!</v>
      </c>
      <c r="HM8" t="e">
        <f>AND('財法所101-英文法務組'!#REF!,"AAAAAD9J6tw=")</f>
        <v>#REF!</v>
      </c>
      <c r="HN8" t="e">
        <f>AND('財法所101-英文法務組'!#REF!,"AAAAAD9J6t0=")</f>
        <v>#REF!</v>
      </c>
      <c r="HO8" t="e">
        <f>AND('財法所101-英文法務組'!#REF!,"AAAAAD9J6t4=")</f>
        <v>#REF!</v>
      </c>
      <c r="HP8" t="e">
        <f>AND('財法所101-英文法務組'!#REF!,"AAAAAD9J6t8=")</f>
        <v>#REF!</v>
      </c>
      <c r="HQ8" t="e">
        <f>AND('財法所101-英文法務組'!#REF!,"AAAAAD9J6uA=")</f>
        <v>#REF!</v>
      </c>
      <c r="HR8" t="e">
        <f>AND('財法所101-英文法務組'!#REF!,"AAAAAD9J6uE=")</f>
        <v>#REF!</v>
      </c>
      <c r="HS8" t="e">
        <f>AND('財法所101-英文法務組'!#REF!,"AAAAAD9J6uI=")</f>
        <v>#REF!</v>
      </c>
      <c r="HT8" t="e">
        <f>AND('財法所101-英文法務組'!#REF!,"AAAAAD9J6uM=")</f>
        <v>#REF!</v>
      </c>
      <c r="HU8" t="e">
        <f>AND('財法所101-英文法務組'!#REF!,"AAAAAD9J6uQ=")</f>
        <v>#REF!</v>
      </c>
      <c r="HV8" t="e">
        <f>AND('財法所101-英文法務組'!#REF!,"AAAAAD9J6uU=")</f>
        <v>#REF!</v>
      </c>
      <c r="HW8" t="e">
        <f>AND('財法所101-英文法務組'!#REF!,"AAAAAD9J6uY=")</f>
        <v>#REF!</v>
      </c>
      <c r="HX8" t="e">
        <f>AND('財法所101-英文法務組'!#REF!,"AAAAAD9J6uc=")</f>
        <v>#REF!</v>
      </c>
      <c r="HY8" t="e">
        <f>AND('財法所101-英文法務組'!#REF!,"AAAAAD9J6ug=")</f>
        <v>#REF!</v>
      </c>
      <c r="HZ8" t="e">
        <f>AND('財法所101-英文法務組'!#REF!,"AAAAAD9J6uk=")</f>
        <v>#REF!</v>
      </c>
      <c r="IA8" t="e">
        <f>AND('財法所101-英文法務組'!#REF!,"AAAAAD9J6uo=")</f>
        <v>#REF!</v>
      </c>
      <c r="IB8" t="e">
        <f>AND('財法所101-英文法務組'!#REF!,"AAAAAD9J6us=")</f>
        <v>#REF!</v>
      </c>
      <c r="IC8" t="e">
        <f>AND('財法所101-英文法務組'!#REF!,"AAAAAD9J6uw=")</f>
        <v>#REF!</v>
      </c>
      <c r="ID8" t="e">
        <f>AND('財法所101-英文法務組'!#REF!,"AAAAAD9J6u0=")</f>
        <v>#REF!</v>
      </c>
      <c r="IE8" t="e">
        <f>AND('財法所101-英文法務組'!#REF!,"AAAAAD9J6u4=")</f>
        <v>#REF!</v>
      </c>
      <c r="IF8" t="e">
        <f>AND('財法所101-英文法務組'!#REF!,"AAAAAD9J6u8=")</f>
        <v>#REF!</v>
      </c>
      <c r="IG8" t="e">
        <f>AND('財法所101-英文法務組'!#REF!,"AAAAAD9J6vA=")</f>
        <v>#REF!</v>
      </c>
      <c r="IH8" t="e">
        <f>AND('財法所101-英文法務組'!#REF!,"AAAAAD9J6vE=")</f>
        <v>#REF!</v>
      </c>
      <c r="II8" t="e">
        <f>AND('財法所101-英文法務組'!#REF!,"AAAAAD9J6vI=")</f>
        <v>#REF!</v>
      </c>
      <c r="IJ8" t="e">
        <f>AND('財法所101-英文法務組'!#REF!,"AAAAAD9J6vM=")</f>
        <v>#REF!</v>
      </c>
      <c r="IK8" t="e">
        <f>AND('財法所101-英文法務組'!#REF!,"AAAAAD9J6vQ=")</f>
        <v>#REF!</v>
      </c>
      <c r="IL8" t="e">
        <f>AND('財法所101-英文法務組'!#REF!,"AAAAAD9J6vU=")</f>
        <v>#REF!</v>
      </c>
      <c r="IM8" t="e">
        <f>AND('財法所101-英文法務組'!#REF!,"AAAAAD9J6vY=")</f>
        <v>#REF!</v>
      </c>
      <c r="IN8" t="e">
        <f>AND('財法所101-英文法務組'!#REF!,"AAAAAD9J6vc=")</f>
        <v>#REF!</v>
      </c>
      <c r="IO8" t="e">
        <f>AND('財法所101-英文法務組'!#REF!,"AAAAAD9J6vg=")</f>
        <v>#REF!</v>
      </c>
      <c r="IP8" t="e">
        <f>AND('財法所101-英文法務組'!#REF!,"AAAAAD9J6vk=")</f>
        <v>#REF!</v>
      </c>
      <c r="IQ8" t="e">
        <f>AND('財法所101-英文法務組'!#REF!,"AAAAAD9J6vo=")</f>
        <v>#REF!</v>
      </c>
      <c r="IR8" t="e">
        <f>AND('財法所101-英文法務組'!#REF!,"AAAAAD9J6vs=")</f>
        <v>#REF!</v>
      </c>
      <c r="IS8" t="e">
        <f>AND('財法所101-英文法務組'!#REF!,"AAAAAD9J6vw=")</f>
        <v>#REF!</v>
      </c>
      <c r="IT8" t="e">
        <f>AND('財法所101-英文法務組'!#REF!,"AAAAAD9J6v0=")</f>
        <v>#REF!</v>
      </c>
      <c r="IU8" t="e">
        <f>AND('財法所101-英文法務組'!#REF!,"AAAAAD9J6v4=")</f>
        <v>#REF!</v>
      </c>
      <c r="IV8" t="e">
        <f>AND('財法所101-英文法務組'!#REF!,"AAAAAD9J6v8=")</f>
        <v>#REF!</v>
      </c>
    </row>
    <row r="9" spans="1:256">
      <c r="A9" t="e">
        <f>AND('財法所101-英文法務組'!#REF!,"AAAAAE+WHQA=")</f>
        <v>#REF!</v>
      </c>
      <c r="B9" t="e">
        <f>AND('財法所101-英文法務組'!#REF!,"AAAAAE+WHQE=")</f>
        <v>#REF!</v>
      </c>
      <c r="C9" t="e">
        <f>AND('財法所101-英文法務組'!#REF!,"AAAAAE+WHQI=")</f>
        <v>#REF!</v>
      </c>
      <c r="D9" t="e">
        <f>IF('財法所101-英文法務組'!#REF!,"AAAAAE+WHQM=",0)</f>
        <v>#REF!</v>
      </c>
      <c r="E9" t="e">
        <f>IF('財法所101-英文法務組'!#REF!,"AAAAAE+WHQQ=",0)</f>
        <v>#REF!</v>
      </c>
      <c r="F9" t="e">
        <f>IF('財法所101-英文法務組'!#REF!,"AAAAAE+WHQU=",0)</f>
        <v>#REF!</v>
      </c>
      <c r="G9" t="e">
        <f>IF('財法所101-英文法務組'!#REF!,"AAAAAE+WHQY=",0)</f>
        <v>#REF!</v>
      </c>
      <c r="H9" t="e">
        <f>IF('財法所101-英文法務組'!#REF!,"AAAAAE+WHQc=",0)</f>
        <v>#REF!</v>
      </c>
      <c r="I9" t="e">
        <f>IF('財法所101-英文法務組'!#REF!,"AAAAAE+WHQg=",0)</f>
        <v>#REF!</v>
      </c>
      <c r="J9" t="e">
        <f>IF('財法所101-英文法務組'!#REF!,"AAAAAE+WHQk=",0)</f>
        <v>#REF!</v>
      </c>
      <c r="K9" t="e">
        <f>IF('財法所101-英文法務組'!#REF!,"AAAAAE+WHQo=",0)</f>
        <v>#REF!</v>
      </c>
      <c r="L9" t="e">
        <f>IF('財法所101-英文法務組'!#REF!,"AAAAAE+WHQs=",0)</f>
        <v>#REF!</v>
      </c>
      <c r="M9" t="e">
        <f>IF('財法所101-英文法務組'!#REF!,"AAAAAE+WHQw=",0)</f>
        <v>#REF!</v>
      </c>
      <c r="N9" t="e">
        <f>IF('財法所101-英文法務組'!#REF!,"AAAAAE+WHQ0=",0)</f>
        <v>#REF!</v>
      </c>
      <c r="O9" t="e">
        <f>IF('財法所101-英文法務組'!#REF!,"AAAAAE+WHQ4=",0)</f>
        <v>#REF!</v>
      </c>
      <c r="P9" t="e">
        <f>IF('財法所101-英文法務組'!#REF!,"AAAAAE+WHQ8=",0)</f>
        <v>#REF!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customProperties>
    <customPr name="DVSECTION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財法所101-英文法務組</vt:lpstr>
      <vt:lpstr>'財法所101-英文法務組'!Print_Titles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liusir</cp:lastModifiedBy>
  <cp:lastPrinted>2012-05-30T06:50:42Z</cp:lastPrinted>
  <dcterms:created xsi:type="dcterms:W3CDTF">2006-05-03T02:29:14Z</dcterms:created>
  <dcterms:modified xsi:type="dcterms:W3CDTF">2017-06-01T05:51:28Z</dcterms:modified>
</cp:coreProperties>
</file>